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23"/>
  <workbookPr defaultThemeVersion="124226"/>
  <mc:AlternateContent xmlns:mc="http://schemas.openxmlformats.org/markup-compatibility/2006">
    <mc:Choice Requires="x15">
      <x15ac:absPath xmlns:x15ac="http://schemas.microsoft.com/office/spreadsheetml/2010/11/ac" url="https://doimspp.sharepoint.com/sites/PNAMPFishMonitoringWorkGroup/Shared Documents/General/Tasks/Data Standards Tasks (more TASKS here)/11_Rotary Screw Trap Operation and Fish Condition/"/>
    </mc:Choice>
  </mc:AlternateContent>
  <xr:revisionPtr revIDLastSave="27" documentId="11_17DA063ACC71F76DCE0C9E1F15947B0518195A77" xr6:coauthVersionLast="47" xr6:coauthVersionMax="47" xr10:uidLastSave="{CF45B9CE-0710-483A-A56C-CF047CD98C51}"/>
  <bookViews>
    <workbookView xWindow="0" yWindow="0" windowWidth="21348" windowHeight="8124" xr2:uid="{00000000-000D-0000-FFFF-FFFF00000000}"/>
  </bookViews>
  <sheets>
    <sheet name="Crosswalk_DES" sheetId="1" r:id="rId1"/>
    <sheet name="Transposed" sheetId="8" r:id="rId2"/>
    <sheet name="Species Names and Codes Lookup" sheetId="10" r:id="rId3"/>
    <sheet name="IDFG_NPT_SBT data" sheetId="2" r:id="rId4"/>
    <sheet name="CTUIR" sheetId="3" r:id="rId5"/>
    <sheet name="WDFW" sheetId="4" r:id="rId6"/>
    <sheet name="ODFW_JD" sheetId="7" r:id="rId7"/>
    <sheet name="ODFW_GR" sheetId="5" r:id="rId8"/>
    <sheet name="YKFP" sheetId="6" r:id="rId9"/>
  </sheets>
  <definedNames>
    <definedName name="_xlnm._FilterDatabase" localSheetId="0" hidden="1">Crosswalk_DES!$A$2:$CO$2</definedName>
    <definedName name="_xlnm._FilterDatabase" localSheetId="3" hidden="1">'IDFG_NPT_SBT data'!$A$3:$AJ$1546</definedName>
    <definedName name="_xlnm.Print_Area" localSheetId="4">CTUIR!$A$1:$K$78</definedName>
    <definedName name="_xlnm.Print_Area" localSheetId="7">ODFW_GR!$A$1:$Q$62</definedName>
    <definedName name="_xlnm.Print_Area" localSheetId="6">ODFW_JD!$A$1:$Q$62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1537" i="2" l="1"/>
  <c r="AI1492" i="2"/>
  <c r="AI1450" i="2"/>
  <c r="AI1404" i="2"/>
  <c r="AI1402" i="2"/>
  <c r="AI1400" i="2"/>
  <c r="AI1398" i="2"/>
  <c r="AI1397" i="2"/>
  <c r="AI1396" i="2"/>
  <c r="AI1388" i="2"/>
  <c r="AI1387" i="2"/>
  <c r="AI1386" i="2"/>
  <c r="AI1375" i="2"/>
  <c r="AI1373" i="2"/>
  <c r="AI1283" i="2"/>
  <c r="AI1257" i="2"/>
  <c r="AI1252" i="2"/>
  <c r="AI1251" i="2"/>
  <c r="AI1250" i="2"/>
  <c r="AI1249" i="2"/>
  <c r="AI1247" i="2"/>
  <c r="AI1246" i="2"/>
  <c r="AI1245" i="2"/>
  <c r="AI1241" i="2"/>
  <c r="AI1239" i="2"/>
  <c r="AI1238" i="2"/>
  <c r="AI1237" i="2"/>
  <c r="AI1235" i="2"/>
  <c r="AI1234" i="2"/>
  <c r="AI1233" i="2"/>
  <c r="AI1232" i="2"/>
  <c r="AI1217" i="2"/>
  <c r="AI1204" i="2"/>
  <c r="AI1198" i="2"/>
  <c r="AI1196" i="2"/>
  <c r="AI1195" i="2"/>
  <c r="AI1123" i="2"/>
  <c r="AI1115" i="2"/>
  <c r="AI1113" i="2"/>
  <c r="AI1112" i="2"/>
  <c r="AI1111" i="2"/>
  <c r="AI1109" i="2"/>
  <c r="AI1106" i="2"/>
  <c r="AI1099" i="2"/>
  <c r="AI1096" i="2"/>
  <c r="AI1095" i="2"/>
  <c r="AI1094" i="2"/>
  <c r="AI1092" i="2"/>
  <c r="AI1091" i="2"/>
  <c r="AI1090" i="2"/>
  <c r="AI1089" i="2"/>
  <c r="AI1088" i="2"/>
  <c r="AI1087" i="2"/>
  <c r="AI1084" i="2"/>
  <c r="AI1083" i="2"/>
  <c r="AI1082" i="2"/>
  <c r="AI1081" i="2"/>
  <c r="AI1080" i="2"/>
  <c r="AI1079" i="2"/>
  <c r="AI1077" i="2"/>
  <c r="AI1076" i="2"/>
  <c r="AI1075" i="2"/>
  <c r="AI1074" i="2"/>
  <c r="AI1073" i="2"/>
  <c r="AI1071" i="2"/>
  <c r="AI1070" i="2"/>
  <c r="AI1069" i="2"/>
  <c r="AI1068" i="2"/>
  <c r="AI1067" i="2"/>
  <c r="AI1066" i="2"/>
  <c r="AI1065" i="2"/>
  <c r="AI1064" i="2"/>
  <c r="AI1063" i="2"/>
  <c r="AI1062" i="2"/>
  <c r="AI1061" i="2"/>
  <c r="AI1060" i="2"/>
  <c r="AI1059" i="2"/>
  <c r="AI1058" i="2"/>
  <c r="AI1057" i="2"/>
  <c r="AI1056" i="2"/>
  <c r="AI1055" i="2"/>
  <c r="AI1054" i="2"/>
  <c r="AI1053" i="2"/>
  <c r="AI1052" i="2"/>
  <c r="AI1050" i="2"/>
  <c r="AI1048" i="2"/>
  <c r="AI1047" i="2"/>
  <c r="AI1046" i="2"/>
  <c r="AI1044" i="2"/>
  <c r="AI1019" i="2"/>
  <c r="AI992" i="2"/>
  <c r="AI983" i="2"/>
  <c r="AI981" i="2"/>
  <c r="AI980" i="2"/>
  <c r="AI979" i="2"/>
  <c r="AI978" i="2"/>
  <c r="AI977" i="2"/>
  <c r="AI976" i="2"/>
  <c r="AI862" i="2"/>
  <c r="AI861" i="2"/>
  <c r="AI860" i="2"/>
  <c r="AI859" i="2"/>
  <c r="AI858" i="2"/>
  <c r="AI857" i="2"/>
  <c r="AI856" i="2"/>
  <c r="AI855" i="2"/>
  <c r="AI854" i="2"/>
  <c r="AI853" i="2"/>
  <c r="AI852" i="2"/>
  <c r="AI851" i="2"/>
  <c r="AI850" i="2"/>
  <c r="AI849" i="2"/>
  <c r="AI848" i="2"/>
  <c r="AI847" i="2"/>
  <c r="AI846" i="2"/>
  <c r="AI845" i="2"/>
  <c r="AI844" i="2"/>
  <c r="AI843" i="2"/>
  <c r="AI842" i="2"/>
  <c r="AI841" i="2"/>
  <c r="AI840" i="2"/>
  <c r="AI839" i="2"/>
  <c r="AI838" i="2"/>
  <c r="AI837" i="2"/>
  <c r="AI836" i="2"/>
  <c r="AI835" i="2"/>
  <c r="AI834" i="2"/>
  <c r="AI833" i="2"/>
  <c r="AI832" i="2"/>
  <c r="AI831" i="2"/>
  <c r="AI830" i="2"/>
  <c r="AI829" i="2"/>
  <c r="AI828" i="2"/>
  <c r="AI827" i="2"/>
  <c r="AI826" i="2"/>
  <c r="AI825" i="2"/>
  <c r="AI824" i="2"/>
  <c r="AI823" i="2"/>
  <c r="AI822" i="2"/>
  <c r="AI821" i="2"/>
  <c r="AI820" i="2"/>
  <c r="AI819" i="2"/>
  <c r="AI818" i="2"/>
  <c r="AI817" i="2"/>
  <c r="AI816" i="2"/>
  <c r="AI815" i="2"/>
  <c r="AI814" i="2"/>
  <c r="AI812" i="2"/>
  <c r="AI811" i="2"/>
  <c r="AI792" i="2"/>
  <c r="AI769" i="2"/>
  <c r="AI765" i="2"/>
  <c r="AI764" i="2"/>
  <c r="AI673" i="2"/>
  <c r="AI672" i="2"/>
  <c r="AI670" i="2"/>
  <c r="AI668" i="2"/>
  <c r="AI666" i="2"/>
  <c r="AI665" i="2"/>
  <c r="AI664" i="2"/>
  <c r="AI663" i="2"/>
  <c r="AI646" i="2"/>
  <c r="AI645" i="2"/>
  <c r="AI644" i="2"/>
  <c r="AI643" i="2"/>
  <c r="AI642" i="2"/>
  <c r="AI641" i="2"/>
  <c r="AI640" i="2"/>
  <c r="AI639" i="2"/>
  <c r="AI637" i="2"/>
  <c r="AI636" i="2"/>
  <c r="AI635" i="2"/>
  <c r="AI634" i="2"/>
  <c r="AI633" i="2"/>
  <c r="AI632" i="2"/>
  <c r="AI629" i="2"/>
  <c r="AI628" i="2"/>
  <c r="AI627" i="2"/>
  <c r="AI626" i="2"/>
  <c r="AI625" i="2"/>
  <c r="AI624" i="2"/>
  <c r="AI623" i="2"/>
  <c r="AI614" i="2"/>
  <c r="AI612" i="2"/>
  <c r="AI611" i="2"/>
  <c r="AI604" i="2"/>
  <c r="AI601" i="2"/>
  <c r="AI600" i="2"/>
  <c r="AI599" i="2"/>
  <c r="AI598" i="2"/>
  <c r="AI597" i="2"/>
  <c r="AI596" i="2"/>
  <c r="AI492" i="2"/>
  <c r="AI491" i="2"/>
  <c r="AI490" i="2"/>
  <c r="AI489" i="2"/>
  <c r="AI488" i="2"/>
  <c r="AI487" i="2"/>
  <c r="AI485" i="2"/>
  <c r="AI484" i="2"/>
  <c r="AI446" i="2"/>
  <c r="AI440" i="2"/>
  <c r="AI417" i="2"/>
  <c r="AI366" i="2"/>
  <c r="AI365" i="2"/>
  <c r="AI364" i="2"/>
  <c r="AI363" i="2"/>
  <c r="AI362" i="2"/>
  <c r="AI361" i="2"/>
  <c r="AI360" i="2"/>
  <c r="AI359" i="2"/>
  <c r="AI358" i="2"/>
  <c r="AI342" i="2"/>
  <c r="AI317" i="2"/>
  <c r="AI314" i="2"/>
  <c r="AI313" i="2"/>
  <c r="AI311" i="2"/>
  <c r="AI310" i="2"/>
  <c r="AI309" i="2"/>
  <c r="AI308" i="2"/>
  <c r="AI307" i="2"/>
  <c r="AI306" i="2"/>
  <c r="AI305" i="2"/>
  <c r="AI262" i="2"/>
  <c r="AI134" i="2"/>
  <c r="AI133" i="2"/>
  <c r="AI132" i="2"/>
  <c r="AI131" i="2"/>
  <c r="AI130" i="2"/>
  <c r="AI129" i="2"/>
  <c r="AI128" i="2"/>
  <c r="AI127" i="2"/>
  <c r="AI126" i="2"/>
  <c r="AI125" i="2"/>
  <c r="AI124" i="2"/>
  <c r="AI122" i="2"/>
  <c r="AI121" i="2"/>
  <c r="AI120" i="2"/>
  <c r="AI119" i="2"/>
  <c r="AI118" i="2"/>
  <c r="AI117" i="2"/>
  <c r="AI107" i="2"/>
  <c r="AI106" i="2"/>
  <c r="AI105" i="2"/>
  <c r="AI102" i="2"/>
  <c r="AI95" i="2"/>
</calcChain>
</file>

<file path=xl/sharedStrings.xml><?xml version="1.0" encoding="utf-8"?>
<sst xmlns="http://schemas.openxmlformats.org/spreadsheetml/2006/main" count="17721" uniqueCount="1558">
  <si>
    <t>Category</t>
  </si>
  <si>
    <t>Trap Site Information</t>
  </si>
  <si>
    <t xml:space="preserve">Trap Sample Event Information </t>
  </si>
  <si>
    <t>Trap Efficiency Information</t>
  </si>
  <si>
    <t>Individual fish information</t>
  </si>
  <si>
    <t>Mark and Tag information</t>
  </si>
  <si>
    <t>Data Set Metadata</t>
  </si>
  <si>
    <t>Field Name</t>
  </si>
  <si>
    <t>Facility ID</t>
  </si>
  <si>
    <t xml:space="preserve">Trap Name </t>
  </si>
  <si>
    <t>StreamName</t>
  </si>
  <si>
    <t>Latitude</t>
  </si>
  <si>
    <t>Longitude</t>
  </si>
  <si>
    <t>Datum</t>
  </si>
  <si>
    <t>Sample Event ID</t>
  </si>
  <si>
    <t>Biologist Name/ Data Owner/ Contacts</t>
  </si>
  <si>
    <t>Org (Optional</t>
  </si>
  <si>
    <t>Survey Date 
or
Event Date</t>
  </si>
  <si>
    <t xml:space="preserve">Sample Start Time </t>
  </si>
  <si>
    <t xml:space="preserve">Sample End Time </t>
  </si>
  <si>
    <t>Survey Year  (Derived)</t>
  </si>
  <si>
    <t>Survey Event Notes</t>
  </si>
  <si>
    <t>Sample Method</t>
  </si>
  <si>
    <t>Study Plan/Design /Protocol Link</t>
  </si>
  <si>
    <t>Migration Year</t>
  </si>
  <si>
    <t>Operation Status</t>
  </si>
  <si>
    <t>Speed</t>
  </si>
  <si>
    <t>Revolutions</t>
  </si>
  <si>
    <t>Depth</t>
  </si>
  <si>
    <t>DepthUnits</t>
  </si>
  <si>
    <t>Air Temperature</t>
  </si>
  <si>
    <t>Water Temperature</t>
  </si>
  <si>
    <t xml:space="preserve">Water Clarity </t>
  </si>
  <si>
    <t>Debris Diameter</t>
  </si>
  <si>
    <t>Efficiency Trial (Y/N)</t>
  </si>
  <si>
    <t>Species</t>
  </si>
  <si>
    <t>Size Class</t>
  </si>
  <si>
    <t>Mark Type</t>
  </si>
  <si>
    <t>NightRelease</t>
  </si>
  <si>
    <t>Number Released</t>
  </si>
  <si>
    <t>Number Recaptured</t>
  </si>
  <si>
    <t>TE estimate</t>
  </si>
  <si>
    <t>Lower_Conf_Int</t>
  </si>
  <si>
    <t>Upper_Conf_Int ▾</t>
  </si>
  <si>
    <t>Species Name</t>
  </si>
  <si>
    <t>Species Code</t>
  </si>
  <si>
    <t>Run Timing</t>
  </si>
  <si>
    <t xml:space="preserve">Population Name (Derived) </t>
  </si>
  <si>
    <t>RecoveryDomain</t>
  </si>
  <si>
    <t>ESU_DPS</t>
  </si>
  <si>
    <t>MajorPopGroup</t>
  </si>
  <si>
    <t>PopID</t>
  </si>
  <si>
    <t>CommonPopName</t>
  </si>
  <si>
    <t>Origin</t>
  </si>
  <si>
    <t>FishID</t>
  </si>
  <si>
    <t>Number_Fish</t>
  </si>
  <si>
    <t>BroodYear</t>
  </si>
  <si>
    <t>Age</t>
  </si>
  <si>
    <t>Fork_Length</t>
  </si>
  <si>
    <t>Fish Weight</t>
  </si>
  <si>
    <t>k Factor (derived)</t>
  </si>
  <si>
    <t>Life stage</t>
  </si>
  <si>
    <t>Disposition</t>
  </si>
  <si>
    <t>Mortality (Y/N)</t>
  </si>
  <si>
    <t>Fish condition</t>
  </si>
  <si>
    <t>Descaling</t>
  </si>
  <si>
    <t>Diseased</t>
  </si>
  <si>
    <t xml:space="preserve">Injury </t>
  </si>
  <si>
    <t>Event Type</t>
  </si>
  <si>
    <t>PITCode</t>
  </si>
  <si>
    <t>ScaleID</t>
  </si>
  <si>
    <t>GeneticID</t>
  </si>
  <si>
    <t>Fin Clip ID</t>
  </si>
  <si>
    <t>CWT</t>
  </si>
  <si>
    <t>Elastomer Code</t>
  </si>
  <si>
    <t>Isotope ID</t>
  </si>
  <si>
    <t xml:space="preserve">Photo ID </t>
  </si>
  <si>
    <t>Tag Temperature</t>
  </si>
  <si>
    <t>Release Temperature</t>
  </si>
  <si>
    <t>Program  Name (Prefered,but optional)</t>
  </si>
  <si>
    <t>Project Name (Prefered,but optional)</t>
  </si>
  <si>
    <t>Program / Project ID Number (Optional)</t>
  </si>
  <si>
    <t>Biologist name/ Data Owner/ Contacts</t>
  </si>
  <si>
    <t>Contact Phone (Optional)</t>
  </si>
  <si>
    <t>Contact Email (Optional)</t>
  </si>
  <si>
    <t>Download URL</t>
  </si>
  <si>
    <t xml:space="preserve">Data Repository Name </t>
  </si>
  <si>
    <t xml:space="preserve">Protocol/Method Name </t>
  </si>
  <si>
    <t>Protocol reference (Optional)</t>
  </si>
  <si>
    <t>Survey Method (optional)</t>
  </si>
  <si>
    <t>Sample Design Reference (optional)</t>
  </si>
  <si>
    <t>Sample Design Type (optional)</t>
  </si>
  <si>
    <t>Survey Type (Optional)</t>
  </si>
  <si>
    <t>Related Report Link</t>
  </si>
  <si>
    <r>
      <rPr>
        <u/>
        <sz val="11"/>
        <color theme="1"/>
        <rFont val="Calibri"/>
        <family val="2"/>
        <scheme val="minor"/>
      </rPr>
      <t xml:space="preserve">Definition </t>
    </r>
    <r>
      <rPr>
        <sz val="11"/>
        <color theme="1"/>
        <rFont val="Calibri"/>
        <family val="2"/>
        <scheme val="minor"/>
      </rPr>
      <t xml:space="preserve">
Source </t>
    </r>
  </si>
  <si>
    <t>The ID Code used for the site.  This should be the same as in PTAGIS and PSMFC Facilities ID</t>
  </si>
  <si>
    <t>The specific name of the trap in PTAGIS and the Facilites ID database</t>
  </si>
  <si>
    <t>The name of the stream that the trap is sampling</t>
  </si>
  <si>
    <t>Latitude in decimal degrees</t>
  </si>
  <si>
    <t>Longitude in decimal degrees</t>
  </si>
  <si>
    <t>Datum (WGS 84 preferred)</t>
  </si>
  <si>
    <t xml:space="preserve">Sample event file name associated with an observation crew or date. </t>
  </si>
  <si>
    <t>The name(s) of responsible party/parties associated with this collection event</t>
  </si>
  <si>
    <t>Organization name</t>
  </si>
  <si>
    <t>Date of observation MM/DD/YY</t>
  </si>
  <si>
    <t>Hour of fish sample start in military time 
00:00</t>
  </si>
  <si>
    <t>Hour of fish sample end in military time 
00:00</t>
  </si>
  <si>
    <t>Calendar year during which the sample event occurred</t>
  </si>
  <si>
    <t xml:space="preserve">Notes: associated with the sample event </t>
  </si>
  <si>
    <t>Gear used to sample fish</t>
  </si>
  <si>
    <t xml:space="preserve">The URL for the study plan, protocol and sample design </t>
  </si>
  <si>
    <t>Expected year when fish will migrate to the ocean</t>
  </si>
  <si>
    <t>Status of the trap or changes to trap status at the time of the sample event</t>
  </si>
  <si>
    <t>Speed at which the trap cone is rotating</t>
  </si>
  <si>
    <t>Number of times the trap cone rotated during the sample event</t>
  </si>
  <si>
    <t>Water depth at the trap site</t>
  </si>
  <si>
    <t>Air temperature (deg C) at the time of the sample event</t>
  </si>
  <si>
    <t>Water temperature (deg C) at the time of the sample event</t>
  </si>
  <si>
    <t>Was a trap efficiency trial performed as part of this sample event? (ie, marked fish were released upstream of the trap)</t>
  </si>
  <si>
    <t>Species (or species/run/rear type = SRR) that the TE estimate applies to</t>
  </si>
  <si>
    <t>Size class and/or age class of fish that the TE estimate applies to</t>
  </si>
  <si>
    <t>Method of marking fish that are released upstream (eg, PIT tag; fin clip; dye)</t>
  </si>
  <si>
    <t>Indicates whether fish for the trap efficiency trial were released after dark</t>
  </si>
  <si>
    <t>Number of fish (of the given species/size class/mark type) that were released upstream of the trap</t>
  </si>
  <si>
    <t>Number of fish (of the given species/size class/mark type) that were recaptured during the fish sample</t>
  </si>
  <si>
    <t>Trap efficiency estimate (for the given species/size class), as calculated by the data provider</t>
  </si>
  <si>
    <r>
      <t xml:space="preserve">Name based on </t>
    </r>
    <r>
      <rPr>
        <sz val="11"/>
        <color rgb="FFFF0000"/>
        <rFont val="Calibri"/>
        <family val="2"/>
        <scheme val="minor"/>
      </rPr>
      <t xml:space="preserve">ITIS </t>
    </r>
  </si>
  <si>
    <t xml:space="preserve">Population Name: Derived based on Species and location </t>
  </si>
  <si>
    <t>Name of the "recovery domain," as defined by the NMFS Northwest Region, in which the population falls geographically.</t>
  </si>
  <si>
    <t>For populations listed under the federal ESA, this is the name of a defined Evolutionarily Significant Unit (ESU) or Distinct Population Segment (DPS) as defined by NMFS Northwest Region or by USFWS.  For non-listed populations this is the DPS or other name.</t>
  </si>
  <si>
    <t>Name of "major population group" (MPG) or “stratum” as defined by the NMFS Northwest Region, in which the population falls.</t>
  </si>
  <si>
    <t>Code for the population(s) of fish represented by this record based on Coordinated Assessmetns Population Names DES</t>
  </si>
  <si>
    <t>Population Name: Derived based on Species and location based on Coordinated Assessmetns Population Names DES</t>
  </si>
  <si>
    <t xml:space="preserve">Natural or Hatchery Origin </t>
  </si>
  <si>
    <t>Fish ID =  (Sitecode  name Sample event date</t>
  </si>
  <si>
    <t xml:space="preserve">Number of fish = 1 for records describing individual fish </t>
  </si>
  <si>
    <r>
      <t xml:space="preserve">Age estimate of of the fish sampled based on spawning brood year, where 0 = </t>
    </r>
    <r>
      <rPr>
        <sz val="11"/>
        <color rgb="FFFF0000"/>
        <rFont val="Calibri"/>
        <family val="2"/>
        <scheme val="minor"/>
      </rPr>
      <t xml:space="preserve">See CA definitions </t>
    </r>
  </si>
  <si>
    <t>Estimate of age based on scale reading</t>
  </si>
  <si>
    <t>Fork length in mm</t>
  </si>
  <si>
    <t>Fish weight in Grams</t>
  </si>
  <si>
    <t>A measure of fish condition based on the ratio of length:weight (species-specific)</t>
  </si>
  <si>
    <t>General age or life stage of the fish according to standardized definitions</t>
  </si>
  <si>
    <t>Where or how was the fish released at the end of the sample event</t>
  </si>
  <si>
    <t>Did the fish die during (or prior to) the sample event?</t>
  </si>
  <si>
    <t>Codes describing observed fish condition, or injuries during handling</t>
  </si>
  <si>
    <t>Mark vs. recapture vs. neither</t>
  </si>
  <si>
    <t>Type of mark, if any, applied to fish</t>
  </si>
  <si>
    <t>The PIT tag code applied to the fish sampled</t>
  </si>
  <si>
    <t>ID code for scale sample</t>
  </si>
  <si>
    <t>ID code for genetic sample</t>
  </si>
  <si>
    <t>Coded Wire Tag code</t>
  </si>
  <si>
    <t>ID code for isotope sample</t>
  </si>
  <si>
    <t>ID code for photograph</t>
  </si>
  <si>
    <t>Water temperature (deg C) when the fish was tagged</t>
  </si>
  <si>
    <t>Water temperature (deg C) when the fish was released</t>
  </si>
  <si>
    <t>Organization Name</t>
  </si>
  <si>
    <t xml:space="preserve">The name of the program/ organizational group conducting the work </t>
  </si>
  <si>
    <t xml:space="preserve">the name of the project designated in contracted work conducting the work </t>
  </si>
  <si>
    <t>Reference Number to Contracting work</t>
  </si>
  <si>
    <t>The name(s of responsible party/parties associated with this collection event.</t>
  </si>
  <si>
    <t>The phone number of the responsible party for this collection event.</t>
  </si>
  <si>
    <t>The email address of the responsible party for this collection event.</t>
  </si>
  <si>
    <t>A URL that provides direct download of the dataset containing measurement data for this DCE, if downloads are supported.</t>
  </si>
  <si>
    <t>The name of the data system storing the information of record</t>
  </si>
  <si>
    <t xml:space="preserve">Link to the Protocol in Monitoring Resoces.org  or a Citation </t>
  </si>
  <si>
    <t>Name of the Method (pick-list</t>
  </si>
  <si>
    <t xml:space="preserve">Link to the Sample Design in Monitoring Resoces.org  or a Citation </t>
  </si>
  <si>
    <t>Pick- list</t>
  </si>
  <si>
    <t xml:space="preserve">Link to the annual report or a Citation </t>
  </si>
  <si>
    <t xml:space="preserve">Derived </t>
  </si>
  <si>
    <t xml:space="preserve">ORGField Names </t>
  </si>
  <si>
    <t>CTUIR</t>
  </si>
  <si>
    <t>(?)</t>
  </si>
  <si>
    <t>File ID</t>
  </si>
  <si>
    <t>Taggers</t>
  </si>
  <si>
    <t>Dat (M/D/Y)</t>
  </si>
  <si>
    <t xml:space="preserve">Time </t>
  </si>
  <si>
    <t xml:space="preserve">Field Notes &amp; Comments </t>
  </si>
  <si>
    <t>Pulled / Reset</t>
  </si>
  <si>
    <t>H20 TEMP</t>
  </si>
  <si>
    <t>Species: Species PTAGIS Code</t>
  </si>
  <si>
    <t>Count Only</t>
  </si>
  <si>
    <t>Fl (MM)</t>
  </si>
  <si>
    <t>Wt (g)</t>
  </si>
  <si>
    <t>Mort</t>
  </si>
  <si>
    <t>TE Clip</t>
  </si>
  <si>
    <t>PIT # 3dd.</t>
  </si>
  <si>
    <t>WDFW</t>
  </si>
  <si>
    <t>Fish Notes</t>
  </si>
  <si>
    <t>Fish Origin</t>
  </si>
  <si>
    <t>Fish Record Number</t>
  </si>
  <si>
    <t>Fork Length</t>
  </si>
  <si>
    <t>Weight (g)</t>
  </si>
  <si>
    <t>k-factor</t>
  </si>
  <si>
    <t xml:space="preserve">Life Stage </t>
  </si>
  <si>
    <t>Fish Status</t>
  </si>
  <si>
    <t xml:space="preserve"> Mortality Timing </t>
  </si>
  <si>
    <t>Injury Code 1-3</t>
  </si>
  <si>
    <t>PIT tag ID</t>
  </si>
  <si>
    <t>Scale ID</t>
  </si>
  <si>
    <t xml:space="preserve"> </t>
  </si>
  <si>
    <t>ODFW_GrandeRonde</t>
  </si>
  <si>
    <t>--</t>
  </si>
  <si>
    <t>SiteName</t>
  </si>
  <si>
    <t>RiverID</t>
  </si>
  <si>
    <t>CoordDatum</t>
  </si>
  <si>
    <t>[EventID], [P4File]</t>
  </si>
  <si>
    <t>Tagger</t>
  </si>
  <si>
    <t>PTAGIS</t>
  </si>
  <si>
    <t>EventDate (YYYY-MM-DD)</t>
  </si>
  <si>
    <t>[StartDate], [StartTime]</t>
  </si>
  <si>
    <t>[EndDate], [EndTime]</t>
  </si>
  <si>
    <t>derived</t>
  </si>
  <si>
    <t>TrapComments</t>
  </si>
  <si>
    <t>EventType</t>
  </si>
  <si>
    <t>MYear</t>
  </si>
  <si>
    <t>[TrapMode], [Start/Stop]</t>
  </si>
  <si>
    <t>RPM</t>
  </si>
  <si>
    <t>EndGauge</t>
  </si>
  <si>
    <t>varies</t>
  </si>
  <si>
    <t>EndTemp</t>
  </si>
  <si>
    <t>[MarkType] = {PIT, Upper Caudal, Lower Caudal, No Mark}</t>
  </si>
  <si>
    <t>[ReleaseTime] = {Day, Night}</t>
  </si>
  <si>
    <t>[Species] (=SRR)</t>
  </si>
  <si>
    <t>included in [Species] (=SRR)</t>
  </si>
  <si>
    <t>FishDetailID</t>
  </si>
  <si>
    <t>Count</t>
  </si>
  <si>
    <t>AgeReadFinal</t>
  </si>
  <si>
    <t>Length</t>
  </si>
  <si>
    <t>Weight</t>
  </si>
  <si>
    <t>[LifeStage] = {YOY, Juvenile, Precocial, Adult}</t>
  </si>
  <si>
    <t>[ReleaseGroup] = {Trap Efficiency, Downstream, Mortality}</t>
  </si>
  <si>
    <t>[ReleaseGroup]</t>
  </si>
  <si>
    <t>[ConditionalComments], [TextComments]</t>
  </si>
  <si>
    <t>[EventType] = {Mark, Recapture, Tally}</t>
  </si>
  <si>
    <t>PIT_Tag</t>
  </si>
  <si>
    <t>ODFW_JohnDay</t>
  </si>
  <si>
    <t>TrapHeaderTrapSite</t>
  </si>
  <si>
    <t>[PKTrapHeaderID], [FKTrapHeaderTagFileID]</t>
  </si>
  <si>
    <t>TrapHeaderCheckDate</t>
  </si>
  <si>
    <t>[CheckDate], [CheckTime]</t>
  </si>
  <si>
    <t>TrapHeaderComments</t>
  </si>
  <si>
    <t>included in [TrapHeaderComments]</t>
  </si>
  <si>
    <t>RotationsTime</t>
  </si>
  <si>
    <t>TrapHeaderEndTemp</t>
  </si>
  <si>
    <t>included in [Species]</t>
  </si>
  <si>
    <t>included in [ReleaseGroup]</t>
  </si>
  <si>
    <t>NRDReleaseStatus</t>
  </si>
  <si>
    <t>FishCounts_PKID</t>
  </si>
  <si>
    <t>ReleaseGroup</t>
  </si>
  <si>
    <t>included in [Release Group]</t>
  </si>
  <si>
    <t>[Conditional Comments], [Comment]</t>
  </si>
  <si>
    <t>ODFW_Umatilla</t>
  </si>
  <si>
    <t>Event Site</t>
  </si>
  <si>
    <t>File</t>
  </si>
  <si>
    <t>Tagger ID</t>
  </si>
  <si>
    <t>Organization</t>
  </si>
  <si>
    <t>StopDate</t>
  </si>
  <si>
    <t>[StopDate], [StopTime]</t>
  </si>
  <si>
    <t>HeaderComments</t>
  </si>
  <si>
    <t>Capture Method</t>
  </si>
  <si>
    <t>included in [HeaderComments]</t>
  </si>
  <si>
    <t>RPMs</t>
  </si>
  <si>
    <t>StopTemp</t>
  </si>
  <si>
    <t>[SRRCode]</t>
  </si>
  <si>
    <t>Day_Night</t>
  </si>
  <si>
    <t>included in [SRRCode]</t>
  </si>
  <si>
    <t>[File] + [Record#] (?)</t>
  </si>
  <si>
    <t>LifeStage</t>
  </si>
  <si>
    <t>[ConditionalComments], [HealthCondition]</t>
  </si>
  <si>
    <t>Descaling_Smolt_Index</t>
  </si>
  <si>
    <t>[EventType] = {Mark, Recapture, Recovery, Tally}</t>
  </si>
  <si>
    <t>YKFP</t>
  </si>
  <si>
    <t xml:space="preserve">Smolt Trap Data Sheet </t>
  </si>
  <si>
    <t xml:space="preserve">Initials </t>
  </si>
  <si>
    <t>Date</t>
  </si>
  <si>
    <t xml:space="preserve">Comments:  (Marked for Efficiency test, Scale Sample Fish Condition, etc) </t>
  </si>
  <si>
    <t>Rotating</t>
  </si>
  <si>
    <t>Rotation Speed</t>
  </si>
  <si>
    <t>Staff Gauge</t>
  </si>
  <si>
    <t xml:space="preserve">Air Temperature </t>
  </si>
  <si>
    <t>efficiency test (Y/N)</t>
  </si>
  <si>
    <t xml:space="preserve">efficiency tested  # </t>
  </si>
  <si>
    <t>Length MM</t>
  </si>
  <si>
    <t>Weight GM</t>
  </si>
  <si>
    <t>Smolted</t>
  </si>
  <si>
    <t xml:space="preserve">PIT tag Number </t>
  </si>
  <si>
    <t xml:space="preserve">IDFG NPT and SBT </t>
  </si>
  <si>
    <t>Trap</t>
  </si>
  <si>
    <t>FileName</t>
  </si>
  <si>
    <t>Agency</t>
  </si>
  <si>
    <t>SurveyDate</t>
  </si>
  <si>
    <t>SurveyYear</t>
  </si>
  <si>
    <t>SessionNotes</t>
  </si>
  <si>
    <t>SampleMethod</t>
  </si>
  <si>
    <t>MigrationYear</t>
  </si>
  <si>
    <t>SillDepth</t>
  </si>
  <si>
    <t>-</t>
  </si>
  <si>
    <t>SName</t>
  </si>
  <si>
    <t>RearType</t>
  </si>
  <si>
    <t>ID</t>
  </si>
  <si>
    <t>NFish</t>
  </si>
  <si>
    <t>FLength</t>
  </si>
  <si>
    <t>FWeight</t>
  </si>
  <si>
    <t>Disp</t>
  </si>
  <si>
    <t>Disp1</t>
  </si>
  <si>
    <t>TagTemp</t>
  </si>
  <si>
    <t>RelTemp</t>
  </si>
  <si>
    <t>NPT -Imnaha</t>
  </si>
  <si>
    <t>Batch ID</t>
  </si>
  <si>
    <t>End date</t>
  </si>
  <si>
    <t>[Start date], [Start time]</t>
  </si>
  <si>
    <t>[End date], [End time]</t>
  </si>
  <si>
    <t>Trap Comments</t>
  </si>
  <si>
    <t>[Trapping], [Operations]</t>
  </si>
  <si>
    <t>Trap rpm</t>
  </si>
  <si>
    <t>Water height (cm)</t>
  </si>
  <si>
    <t>cm</t>
  </si>
  <si>
    <t>Temperature ©</t>
  </si>
  <si>
    <t>Species (=SRR)</t>
  </si>
  <si>
    <t>Fork Length (mm)</t>
  </si>
  <si>
    <t>[Condition] (=[Conditional Comments]</t>
  </si>
  <si>
    <t>included in [Condition]</t>
  </si>
  <si>
    <t>Tag ID</t>
  </si>
  <si>
    <t>[Event Site], [Release Site]</t>
  </si>
  <si>
    <t>Event Site Latitude</t>
  </si>
  <si>
    <t>Event Site Longitude</t>
  </si>
  <si>
    <t>Event Date</t>
  </si>
  <si>
    <t>Session Note</t>
  </si>
  <si>
    <t>Temperature</t>
  </si>
  <si>
    <t>[Species Name]</t>
  </si>
  <si>
    <t xml:space="preserve"> [SRR Code]</t>
  </si>
  <si>
    <t>Run</t>
  </si>
  <si>
    <t>Rear Type</t>
  </si>
  <si>
    <t>(=1)</t>
  </si>
  <si>
    <t>Brood Year</t>
  </si>
  <si>
    <t>Event Life Stage</t>
  </si>
  <si>
    <t>Conditional Comment</t>
  </si>
  <si>
    <t>(=PIT); [Mark Other Tag]</t>
  </si>
  <si>
    <t>Tag</t>
  </si>
  <si>
    <t>Coded-Wire Tag</t>
  </si>
  <si>
    <t>Mark Other Tag</t>
  </si>
  <si>
    <t>[Mark Temperature], [Holding Temperature]</t>
  </si>
  <si>
    <t xml:space="preserve">Insert Org and field names </t>
  </si>
  <si>
    <t>IDFG Data</t>
  </si>
  <si>
    <t>LOCTRP</t>
  </si>
  <si>
    <t>Lochsa River</t>
  </si>
  <si>
    <t>LRM17089.LRT</t>
  </si>
  <si>
    <t>MAKI K</t>
  </si>
  <si>
    <t>Idaho Department of Fish and Game</t>
  </si>
  <si>
    <t xml:space="preserve">SCREWT    </t>
  </si>
  <si>
    <t>Pacific Lamprey</t>
  </si>
  <si>
    <t>W</t>
  </si>
  <si>
    <t>NTD</t>
  </si>
  <si>
    <t>ODFW_GR</t>
  </si>
  <si>
    <t>Catherine Trap</t>
  </si>
  <si>
    <t>CATHEC</t>
  </si>
  <si>
    <t>NAD83</t>
  </si>
  <si>
    <t>3960; OGR-2021-272-CC1</t>
  </si>
  <si>
    <t>GIBSON P</t>
  </si>
  <si>
    <t>ODFW</t>
  </si>
  <si>
    <t>2021-09-29  11:00</t>
  </si>
  <si>
    <t>trap stopped on arrival, stick in cone</t>
  </si>
  <si>
    <t>INT</t>
  </si>
  <si>
    <t>1.00</t>
  </si>
  <si>
    <t>Y</t>
  </si>
  <si>
    <t>11W</t>
  </si>
  <si>
    <t>PIT</t>
  </si>
  <si>
    <t>Day</t>
  </si>
  <si>
    <t>Spring</t>
  </si>
  <si>
    <t>Juvenile</t>
  </si>
  <si>
    <t>TE</t>
  </si>
  <si>
    <t>N</t>
  </si>
  <si>
    <t>PA</t>
  </si>
  <si>
    <t>Mark</t>
  </si>
  <si>
    <t>3DD.003D6E9D19</t>
  </si>
  <si>
    <t>CCG-22-045</t>
  </si>
  <si>
    <t>3965; OGR-2021-273-CC1</t>
  </si>
  <si>
    <t>TRAPP M</t>
  </si>
  <si>
    <t>2021-09-29 11:00</t>
  </si>
  <si>
    <t>2021-09-30  08:50</t>
  </si>
  <si>
    <t>CON</t>
  </si>
  <si>
    <t>32W</t>
  </si>
  <si>
    <t>DS</t>
  </si>
  <si>
    <t>Tally</t>
  </si>
  <si>
    <t>NM</t>
  </si>
  <si>
    <t>PG  ODFW comment</t>
  </si>
  <si>
    <t>To my understanding, most individual screw traps do not have a specific name in PTAGIS, nor a Facilities ID.</t>
  </si>
  <si>
    <t>Note that a PTAGIS file is not necessarily identical to a trap sample event; some trap samples may generate no PTAGIS files if there are no tagged fish; some trap samples could have multiple PTAGIS files.</t>
  </si>
  <si>
    <t>Data "owner"  is likely different from the "tagger". Might want to separate these out.</t>
  </si>
  <si>
    <t>Is MM/DD/YY the preferred date format for CA? Could we at least do four-digit years?</t>
  </si>
  <si>
    <t>[Start time] and [end time] likely need to be date + time because typical trap samples are 24 hrs.</t>
  </si>
  <si>
    <t xml:space="preserve">Are we including methods similar to RST, such as scoop trap or fyke trap? </t>
  </si>
  <si>
    <t>Alternatively this could be [AgeClass] or [LifeStage]</t>
  </si>
  <si>
    <t>TE recap counts are problematic; we would need to specify the eligible time frame for recaptures.  (Should any and all TE recaptures be counted here? Or only recaptures from, e.g., the most recent TE release group?) Or we could eliminate this field and leave it to users to derive recap counts however they choose.</t>
  </si>
  <si>
    <t>Calculated TE estimates should be associated with each date and/or sample event.</t>
  </si>
  <si>
    <t>In ODFW traps at least, both target and incidental spp are often counted and recorded as groups</t>
  </si>
  <si>
    <t>This will be a challenging field to standardize.</t>
  </si>
  <si>
    <t>Dataset values</t>
  </si>
  <si>
    <t>Comments</t>
  </si>
  <si>
    <t xml:space="preserve">Format/Units (To be completed by Data Stewards </t>
  </si>
  <si>
    <t xml:space="preserve">DES </t>
  </si>
  <si>
    <t>Data Form Example Fields</t>
  </si>
  <si>
    <t>Data Form Test Content</t>
  </si>
  <si>
    <t xml:space="preserve">Definition 
Source </t>
  </si>
  <si>
    <t>Insert Org</t>
  </si>
  <si>
    <t>Sample event file name</t>
  </si>
  <si>
    <t>Species Name/code</t>
  </si>
  <si>
    <r>
      <t xml:space="preserve">Name based on </t>
    </r>
    <r>
      <rPr>
        <sz val="11"/>
        <color rgb="FFFF0000"/>
        <rFont val="Calibri"/>
        <scheme val="minor"/>
      </rPr>
      <t xml:space="preserve">ITIS and PTAGIS </t>
    </r>
    <r>
      <rPr>
        <sz val="11"/>
        <color theme="1"/>
        <rFont val="Calibri"/>
        <scheme val="minor"/>
      </rPr>
      <t xml:space="preserve">code </t>
    </r>
  </si>
  <si>
    <t>[SRRCode], [Non-TargetSpecies]</t>
  </si>
  <si>
    <t>[Species Name] or [SRR Code]</t>
  </si>
  <si>
    <r>
      <t xml:space="preserve">Age estimate of of the fish sampled based on spawning brood year, where 0 = </t>
    </r>
    <r>
      <rPr>
        <sz val="11"/>
        <color rgb="FFFF0000"/>
        <rFont val="Calibri"/>
        <scheme val="minor"/>
      </rPr>
      <t xml:space="preserve">See CA definitions </t>
    </r>
  </si>
  <si>
    <t xml:space="preserve">Species Code </t>
  </si>
  <si>
    <t xml:space="preserve">Species Sampled Descriptive Name </t>
  </si>
  <si>
    <t xml:space="preserve">Species Scientific:(Common Name </t>
  </si>
  <si>
    <t>00U</t>
  </si>
  <si>
    <t>American Shad</t>
  </si>
  <si>
    <t>TBD</t>
  </si>
  <si>
    <t>05U</t>
  </si>
  <si>
    <t>Brook Trout</t>
  </si>
  <si>
    <t>11H</t>
  </si>
  <si>
    <t>Bull Trout</t>
  </si>
  <si>
    <t>Salvelinus confluentus: (Bull trout)</t>
  </si>
  <si>
    <t>11U</t>
  </si>
  <si>
    <t>Channel Catfish</t>
  </si>
  <si>
    <t>Chinook (unknown run &amp; r/t)</t>
  </si>
  <si>
    <t xml:space="preserve">Oncorhynchus tshawytscha: (Chinook salmon) </t>
  </si>
  <si>
    <t>12H</t>
  </si>
  <si>
    <t>Chum (unknown run &amp; r/t)</t>
  </si>
  <si>
    <t>Oncorhynchus keta: (Chum salmon)</t>
  </si>
  <si>
    <t>12U</t>
  </si>
  <si>
    <t>Coastal Cutthroat (unknown r/t)</t>
  </si>
  <si>
    <t>Oncorhynchus clarki: (Cutthroat trout)</t>
  </si>
  <si>
    <t>12W</t>
  </si>
  <si>
    <t>Coho (unknown r/t)</t>
  </si>
  <si>
    <t>Oncorhynchus kisutch: (Coho salmon)</t>
  </si>
  <si>
    <t>13H</t>
  </si>
  <si>
    <t>Fall Chinook (unknown r/t)</t>
  </si>
  <si>
    <t>13U</t>
  </si>
  <si>
    <t>Fall Chum (unknown r/t)</t>
  </si>
  <si>
    <t>13W</t>
  </si>
  <si>
    <t>Green Sturgeon</t>
  </si>
  <si>
    <t>15H</t>
  </si>
  <si>
    <t>Hat. Chinook (unknown run)</t>
  </si>
  <si>
    <t>15U</t>
  </si>
  <si>
    <t>Hat. Chum (unknown run)</t>
  </si>
  <si>
    <t>15W</t>
  </si>
  <si>
    <t>Hat. Coastal Cutthroat</t>
  </si>
  <si>
    <t>25H</t>
  </si>
  <si>
    <t>Hat. Coho</t>
  </si>
  <si>
    <t>25U</t>
  </si>
  <si>
    <t>Hat. Fall Chinook</t>
  </si>
  <si>
    <t>25W</t>
  </si>
  <si>
    <t>Hat. Fall Chum</t>
  </si>
  <si>
    <t>30H</t>
  </si>
  <si>
    <t>Hat. O. mykiss (unknown migratory status)</t>
  </si>
  <si>
    <t>Oncorhynchus mykiss; (Steelhead, or Rainbow trout)</t>
  </si>
  <si>
    <t>30U</t>
  </si>
  <si>
    <t>Hat. Rainbow Trout</t>
  </si>
  <si>
    <t>30W</t>
  </si>
  <si>
    <t>Hat. Sockeye (unknown run)</t>
  </si>
  <si>
    <t>Oncorhynchus nerka: (Sockeye, or Kokanee)</t>
  </si>
  <si>
    <t>32H</t>
  </si>
  <si>
    <t>Hat. Spring Chinook</t>
  </si>
  <si>
    <t>32U</t>
  </si>
  <si>
    <t>Hat. Steelhead (unknown run)</t>
  </si>
  <si>
    <t>Hat. Summer Chinook</t>
  </si>
  <si>
    <t>34H</t>
  </si>
  <si>
    <t>Hat. Summer Chum</t>
  </si>
  <si>
    <t>34W</t>
  </si>
  <si>
    <t>Hat. Summer Sockeye</t>
  </si>
  <si>
    <t>35H</t>
  </si>
  <si>
    <t>Hat. Summer Steelhead</t>
  </si>
  <si>
    <t>35U</t>
  </si>
  <si>
    <t>Hat. White Sturgeon</t>
  </si>
  <si>
    <t>35W</t>
  </si>
  <si>
    <t>Hat. Winter Steelhead</t>
  </si>
  <si>
    <t>3RH</t>
  </si>
  <si>
    <t>Hatchery Resident Sockeye (Kokanee)</t>
  </si>
  <si>
    <t>3RU</t>
  </si>
  <si>
    <t>Mountain Whitefish</t>
  </si>
  <si>
    <t>3RW</t>
  </si>
  <si>
    <t>Northern Pikeminnow</t>
  </si>
  <si>
    <t>42H</t>
  </si>
  <si>
    <t>O. mykiss (unknown migratory/rearing status)</t>
  </si>
  <si>
    <t>42U</t>
  </si>
  <si>
    <t>Other</t>
  </si>
  <si>
    <t>42W</t>
  </si>
  <si>
    <t>Entosphenus tridentatus: (Lamprey)</t>
  </si>
  <si>
    <t>45H</t>
  </si>
  <si>
    <t>Rainbow Trout (unknown r/t)</t>
  </si>
  <si>
    <t>45U</t>
  </si>
  <si>
    <t>Smallmouth Bass</t>
  </si>
  <si>
    <t>45W</t>
  </si>
  <si>
    <t>Sockeye (unknown run &amp; r/t)</t>
  </si>
  <si>
    <t>4RH</t>
  </si>
  <si>
    <t>Spring Chinook (unknown r/t)</t>
  </si>
  <si>
    <t>4RW</t>
  </si>
  <si>
    <t>Steelhead (unknown run &amp; r/t)</t>
  </si>
  <si>
    <t>52H</t>
  </si>
  <si>
    <t>Summer Chinook (unknown r/t)</t>
  </si>
  <si>
    <t>52U</t>
  </si>
  <si>
    <t>Summer Chum (unknown r/t)</t>
  </si>
  <si>
    <t>52W</t>
  </si>
  <si>
    <t>Summer Sockeye (unknown r/t)</t>
  </si>
  <si>
    <t>53H</t>
  </si>
  <si>
    <t>Summer Steelhead (unknown r/t)</t>
  </si>
  <si>
    <t>53U</t>
  </si>
  <si>
    <t>Unknown</t>
  </si>
  <si>
    <t>53W</t>
  </si>
  <si>
    <t>Unknown (fish not observed)</t>
  </si>
  <si>
    <t>55H</t>
  </si>
  <si>
    <t>Walleye</t>
  </si>
  <si>
    <t>55U</t>
  </si>
  <si>
    <t>Western Brook Lamprey</t>
  </si>
  <si>
    <t>Lampetra planeri: (Lamprey)</t>
  </si>
  <si>
    <t>55W</t>
  </si>
  <si>
    <t>White Sturgeon</t>
  </si>
  <si>
    <t>65W</t>
  </si>
  <si>
    <t>Wild Chinook (unknown run)</t>
  </si>
  <si>
    <t>7RW</t>
  </si>
  <si>
    <t>Wild Chum (unknown run)</t>
  </si>
  <si>
    <t>85H</t>
  </si>
  <si>
    <t>Wild Coastal Cutthroat</t>
  </si>
  <si>
    <t>85U</t>
  </si>
  <si>
    <t>Wild Coho</t>
  </si>
  <si>
    <t>85W</t>
  </si>
  <si>
    <t>Wild Fall Chinook</t>
  </si>
  <si>
    <t>8RW</t>
  </si>
  <si>
    <t>Wild Fall Chum</t>
  </si>
  <si>
    <t>90U</t>
  </si>
  <si>
    <t>Wild Lamprey (species unknown)</t>
  </si>
  <si>
    <t>Petromyzontiformes: (Lamprey)</t>
  </si>
  <si>
    <t>A0W</t>
  </si>
  <si>
    <t>Wild O. mykiss (unknown migratory status)</t>
  </si>
  <si>
    <t>B0H</t>
  </si>
  <si>
    <t>Wild Pink</t>
  </si>
  <si>
    <t>B0W</t>
  </si>
  <si>
    <t>Wild Rainbow Trout</t>
  </si>
  <si>
    <t>C0W</t>
  </si>
  <si>
    <t>Wild Resident Cutthroat</t>
  </si>
  <si>
    <t>D0W</t>
  </si>
  <si>
    <t>Wild Resident Sockeye (Kokanee)</t>
  </si>
  <si>
    <t>ERU</t>
  </si>
  <si>
    <t>Wild Sockeye (unknown run)</t>
  </si>
  <si>
    <t>F0W</t>
  </si>
  <si>
    <t>Wild Spring Chinook</t>
  </si>
  <si>
    <t>G0W</t>
  </si>
  <si>
    <t>Wild Steelhead (unknown run)</t>
  </si>
  <si>
    <t>H0W</t>
  </si>
  <si>
    <t>Wild Summer Chinook</t>
  </si>
  <si>
    <t>I0W</t>
  </si>
  <si>
    <t>Wild Summer Chum</t>
  </si>
  <si>
    <t>J0W</t>
  </si>
  <si>
    <t>Wild Summer Sockeye</t>
  </si>
  <si>
    <t>K0W</t>
  </si>
  <si>
    <t>Wild Summer Steelhead</t>
  </si>
  <si>
    <t>L0W</t>
  </si>
  <si>
    <t>Wild Winter Steelhead</t>
  </si>
  <si>
    <t xml:space="preserve">Trap Code </t>
  </si>
  <si>
    <t xml:space="preserve">Survey Date and Time </t>
  </si>
  <si>
    <t>Survey Year</t>
  </si>
  <si>
    <t>Disp2</t>
  </si>
  <si>
    <t xml:space="preserve">Definition </t>
  </si>
  <si>
    <t>The ID Code used in PTAGISand Facilities ID</t>
  </si>
  <si>
    <t>Sample Event File Name Date (YYMMDD)</t>
  </si>
  <si>
    <r>
      <t xml:space="preserve">Name based on </t>
    </r>
    <r>
      <rPr>
        <sz val="11"/>
        <color rgb="FFFF0000"/>
        <rFont val="Calibri"/>
        <family val="2"/>
        <scheme val="minor"/>
      </rPr>
      <t xml:space="preserve">ITIS and PTAGIS </t>
    </r>
    <r>
      <rPr>
        <sz val="11"/>
        <color theme="1"/>
        <rFont val="Calibri"/>
        <family val="2"/>
        <scheme val="minor"/>
      </rPr>
      <t xml:space="preserve">code </t>
    </r>
  </si>
  <si>
    <t>The PIT Tag Code applied to the fish sampled</t>
  </si>
  <si>
    <t xml:space="preserve">Estimate of age based on Size of Scales assessment </t>
  </si>
  <si>
    <t xml:space="preserve">Number of fish =  1,  unless for not  target species </t>
  </si>
  <si>
    <t>Fork length</t>
  </si>
  <si>
    <t>Fish Weight in Grams</t>
  </si>
  <si>
    <t>IDFG</t>
  </si>
  <si>
    <t xml:space="preserve">IDFG Data example </t>
  </si>
  <si>
    <t>Chinook Salmon (Snake River spring/summer-run ESU)</t>
  </si>
  <si>
    <t>TU</t>
  </si>
  <si>
    <t>TU SUI</t>
  </si>
  <si>
    <t>LRM17124.LRT</t>
  </si>
  <si>
    <t>Steelhead (Snake River Basin DPS)</t>
  </si>
  <si>
    <t>trap ops normal. Trap 1 RPM 13, Trap 2 RPM 15. DIscharge:6640</t>
  </si>
  <si>
    <t>ROSALES A</t>
  </si>
  <si>
    <t>TU SUI ss: 17-76404</t>
  </si>
  <si>
    <t>TU SUI ss: 17-76409</t>
  </si>
  <si>
    <t>TU SUI ss: 17-76401</t>
  </si>
  <si>
    <t>TU SUI ss: 17-76420</t>
  </si>
  <si>
    <t>TU SUI ss: 17-76419</t>
  </si>
  <si>
    <t>TU SUI ss: 17-76413</t>
  </si>
  <si>
    <t>TU SUI ss: 17-76403</t>
  </si>
  <si>
    <t>TU SUI ss: 17-76416</t>
  </si>
  <si>
    <t>TU SUI ss: 17-76411</t>
  </si>
  <si>
    <t>TU SUI ss: 17-76410</t>
  </si>
  <si>
    <t>TU SUI ss: 17-76412</t>
  </si>
  <si>
    <t>TU SUI ss: 17-76414</t>
  </si>
  <si>
    <t>TU SUI ss: 17-76415</t>
  </si>
  <si>
    <t>TU SUI ss: 17-76408</t>
  </si>
  <si>
    <t>TU SUI ss: 17-76418</t>
  </si>
  <si>
    <t>TU SUI ss: 17-76417</t>
  </si>
  <si>
    <t>TU SUI ss: 17-76406</t>
  </si>
  <si>
    <t>TU SUI ss: 17-76407</t>
  </si>
  <si>
    <t>TU SUI ss: 17-76402</t>
  </si>
  <si>
    <t>TU SUI ss: 17-76405</t>
  </si>
  <si>
    <t>LRM17293.LRT</t>
  </si>
  <si>
    <t>Bridgelip Sucker</t>
  </si>
  <si>
    <t>ops normal</t>
  </si>
  <si>
    <t>Largescale Sucker</t>
  </si>
  <si>
    <t>Redside Shiner</t>
  </si>
  <si>
    <t>YOY</t>
  </si>
  <si>
    <t>LRM17162.LRT</t>
  </si>
  <si>
    <t>Trap ops normal</t>
  </si>
  <si>
    <t>NTS</t>
  </si>
  <si>
    <t>Pacific Salmon</t>
  </si>
  <si>
    <t>Longnose Dace</t>
  </si>
  <si>
    <t>LRM17170.LRT</t>
  </si>
  <si>
    <t>TU SUI ss:17-76551</t>
  </si>
  <si>
    <t>trap ops normal. Discharge: 6310</t>
  </si>
  <si>
    <t>Cutthroat Trout</t>
  </si>
  <si>
    <t>TU SUI ss:17-76549</t>
  </si>
  <si>
    <t>TU SUI ss:17-76552</t>
  </si>
  <si>
    <t>LRM17267.LRT</t>
  </si>
  <si>
    <t>LRM17163.LRT</t>
  </si>
  <si>
    <t>Trap ops normal. Discharge: 6080 CFS</t>
  </si>
  <si>
    <t>TU SUI ss:17-76542</t>
  </si>
  <si>
    <t>LRM17112.LRT</t>
  </si>
  <si>
    <t>TU SUI ss:17-68176</t>
  </si>
  <si>
    <t>trap ops normal. Greased Trap 1. Discharge: 5700</t>
  </si>
  <si>
    <t>TU SUI ss:17:68182</t>
  </si>
  <si>
    <t>TU SUI ss:17-68187</t>
  </si>
  <si>
    <t>TU SUI ss:17-68180</t>
  </si>
  <si>
    <t>TU SUI ss:17-68184</t>
  </si>
  <si>
    <t>TU SUI ss:17-68181</t>
  </si>
  <si>
    <t>TU SUI ss:17-68178</t>
  </si>
  <si>
    <t>TU SUI SS=17-76566</t>
  </si>
  <si>
    <t>LRM17132.LRT</t>
  </si>
  <si>
    <t>TU SUI SS=17-76493</t>
  </si>
  <si>
    <t>RE RE</t>
  </si>
  <si>
    <t>RE</t>
  </si>
  <si>
    <t>Cottus sp.</t>
  </si>
  <si>
    <t>TU SUI SS=17-76495</t>
  </si>
  <si>
    <t>TU SUI SS=17-76496</t>
  </si>
  <si>
    <t>TU SUI SS=17-76494</t>
  </si>
  <si>
    <t>LRM17258.LRT</t>
  </si>
  <si>
    <t>359 cfs</t>
  </si>
  <si>
    <t>GRIFFIN K</t>
  </si>
  <si>
    <t>NTR</t>
  </si>
  <si>
    <t>LRM17290.LRT</t>
  </si>
  <si>
    <t>BLACK C</t>
  </si>
  <si>
    <t>LRM17233.LRT</t>
  </si>
  <si>
    <t>474 cfs</t>
  </si>
  <si>
    <t>LRM17117.LRT</t>
  </si>
  <si>
    <t>TU SUI SS=17-68319</t>
  </si>
  <si>
    <t>TU SUI SS=17-68318</t>
  </si>
  <si>
    <t>TU SUI SS=17-68322</t>
  </si>
  <si>
    <t>TU SUI SS=17-68316</t>
  </si>
  <si>
    <t>TU SUI SS=17-68317</t>
  </si>
  <si>
    <t>TU SUI SS=17-68320</t>
  </si>
  <si>
    <t>TU SUI SS=17-68323</t>
  </si>
  <si>
    <t>TU SUI SS=17-68328</t>
  </si>
  <si>
    <t>TU SUI SS=17-68325</t>
  </si>
  <si>
    <t>TU SUI SS=17-68326</t>
  </si>
  <si>
    <t>TU SUI SS=17-68321</t>
  </si>
  <si>
    <t>TU SUI SS=17-68329</t>
  </si>
  <si>
    <t>TU SUI SS=17-68315</t>
  </si>
  <si>
    <t>TU SUI SS=17-68324</t>
  </si>
  <si>
    <t>TU SUI SS=17-68314</t>
  </si>
  <si>
    <t>TU SUI SS=17-68330</t>
  </si>
  <si>
    <t>TU SUI SS=17-68327</t>
  </si>
  <si>
    <t>LRM17088.LRT</t>
  </si>
  <si>
    <t>TU SUI ss:17-68012</t>
  </si>
  <si>
    <t>LRM17125.LRT</t>
  </si>
  <si>
    <t>TU SUI ss: 17-76430</t>
  </si>
  <si>
    <t>trap ops normal. Discharge:9650 CFS</t>
  </si>
  <si>
    <t>TU SUI ss: 17-76424</t>
  </si>
  <si>
    <t>TU SUI ss: 17-76438</t>
  </si>
  <si>
    <t>TU SUI ss: 17-76433</t>
  </si>
  <si>
    <t>TU SUI ss: 17-76427</t>
  </si>
  <si>
    <t>TU SUI ss: 17-76431</t>
  </si>
  <si>
    <t>TU SUI ss: 17-76434</t>
  </si>
  <si>
    <t>TU SUI ss: 17-76436</t>
  </si>
  <si>
    <t>TU SUI ss: 17-76435</t>
  </si>
  <si>
    <t>TU SUI ss: 17-76423</t>
  </si>
  <si>
    <t>D</t>
  </si>
  <si>
    <t>MTG</t>
  </si>
  <si>
    <t>M</t>
  </si>
  <si>
    <t>ss: 17-76421 TG</t>
  </si>
  <si>
    <t>TU SUI ss: 17-76422</t>
  </si>
  <si>
    <t>TU SUI ss: 17-76437</t>
  </si>
  <si>
    <t>TU SUI ss: 17-76440</t>
  </si>
  <si>
    <t>TU SUI ss: 17-76428</t>
  </si>
  <si>
    <t>TU SUI ss: 17-76439</t>
  </si>
  <si>
    <t>TU SUI ss: 17-76425</t>
  </si>
  <si>
    <t>LRM17213.LRT</t>
  </si>
  <si>
    <t>Warm water</t>
  </si>
  <si>
    <t>LRM17273.LRT</t>
  </si>
  <si>
    <t>430 cfs</t>
  </si>
  <si>
    <t>LRM17137.LRT</t>
  </si>
  <si>
    <t>TU SUI; Scales: 17-76506</t>
  </si>
  <si>
    <t>ops normal, only fishing inside trap.</t>
  </si>
  <si>
    <t>LEBEDA D</t>
  </si>
  <si>
    <t>LRM17240.LRT</t>
  </si>
  <si>
    <t>LRM17096.LRT</t>
  </si>
  <si>
    <t>TU SUI ss: 17-68021</t>
  </si>
  <si>
    <t>TU SUI ss: 17-68020</t>
  </si>
  <si>
    <t>RE RC</t>
  </si>
  <si>
    <t>RC</t>
  </si>
  <si>
    <t>LRM17092.LRT</t>
  </si>
  <si>
    <t>TU SUI ss=17-68014</t>
  </si>
  <si>
    <t>LRM17255.LRT</t>
  </si>
  <si>
    <t>Normal Ops</t>
  </si>
  <si>
    <t>LRM17287.LRT</t>
  </si>
  <si>
    <t>503 cfs</t>
  </si>
  <si>
    <t>HARMON D</t>
  </si>
  <si>
    <t>Rainbow Trout</t>
  </si>
  <si>
    <t>LRM17152.LRT</t>
  </si>
  <si>
    <t>trap ops not normal. Cones were both spinning under 5 RPM. Water came up, lots of logs in the water. Will not fish for the day. Will reconsider putting traps out through the day.</t>
  </si>
  <si>
    <t>LRM17302.LRT</t>
  </si>
  <si>
    <t>TU SUI; NEEDLE EJECTED INTO FISH</t>
  </si>
  <si>
    <t>712 cfs; cone was hitting rocks when I got to the trap this morning. Raised cone 1 turn and moved trap out to 90 feet.</t>
  </si>
  <si>
    <t>LRM17294.LRT</t>
  </si>
  <si>
    <t>TU SUI SS=17=76581</t>
  </si>
  <si>
    <t>TU SUI ss: 17-76429</t>
  </si>
  <si>
    <t>TU SUI ss: 17-76432</t>
  </si>
  <si>
    <t>TU SUI ss: 17-76426</t>
  </si>
  <si>
    <t>LRM17141.LRT</t>
  </si>
  <si>
    <t>TU SUI ss:17-76510</t>
  </si>
  <si>
    <t>trap ops normal. Trap 1: 14RPM Trap 2: 11 RPM. Greased Trap 1. Discharge:7570</t>
  </si>
  <si>
    <t>TU SUI ss:17-76512</t>
  </si>
  <si>
    <t>TU SUI ss:17-76511</t>
  </si>
  <si>
    <t>TU SUI ss:17-76508</t>
  </si>
  <si>
    <t>TU SUI ss:17-76509</t>
  </si>
  <si>
    <t>TU SUI ss:17-76513</t>
  </si>
  <si>
    <t>LRM17239.LRT</t>
  </si>
  <si>
    <t>LRM17130.LRT</t>
  </si>
  <si>
    <t>TU SUI SS=17-76487</t>
  </si>
  <si>
    <t>TU SUI  SS=17-76481</t>
  </si>
  <si>
    <t>TU SUI SS=17-76480</t>
  </si>
  <si>
    <t>TU SUI  SS=17-76484</t>
  </si>
  <si>
    <t>TU SUI SS=17-76488</t>
  </si>
  <si>
    <t>TU SUI  SS=17-76482</t>
  </si>
  <si>
    <t>TU SUI  SS=17-76483</t>
  </si>
  <si>
    <t>TU SUI SS=17-76489</t>
  </si>
  <si>
    <t>TU SUI SS=17-76485</t>
  </si>
  <si>
    <t>TU SUI SS=17-76486</t>
  </si>
  <si>
    <t>LRM17182.LRT</t>
  </si>
  <si>
    <t>Speckled Dace</t>
  </si>
  <si>
    <t>LRM17094.LRT</t>
  </si>
  <si>
    <t>TU SUI ss: 17-68016</t>
  </si>
  <si>
    <t>LRM17285.LRT</t>
  </si>
  <si>
    <t>515 cfs</t>
  </si>
  <si>
    <t>LRM17280.LRT</t>
  </si>
  <si>
    <t>TU SUI SS=17-76579</t>
  </si>
  <si>
    <t>LRM17244.LRT</t>
  </si>
  <si>
    <t>398 cfs</t>
  </si>
  <si>
    <t>Mountain Sucker</t>
  </si>
  <si>
    <t>TU SUI ss:17-68177</t>
  </si>
  <si>
    <t>TU SUI ss:17-68185</t>
  </si>
  <si>
    <t>TU SUI ss:17-68183</t>
  </si>
  <si>
    <t>TU SUI ss:17-68179</t>
  </si>
  <si>
    <t>TU SUI ss:17-68175</t>
  </si>
  <si>
    <t>TU SUI ss:17-68186</t>
  </si>
  <si>
    <t>LRM17189.LRT</t>
  </si>
  <si>
    <t>LRM17106.LRT</t>
  </si>
  <si>
    <t>TU SUI SS=17-68073</t>
  </si>
  <si>
    <t>TU SUI SS=17-68072</t>
  </si>
  <si>
    <t>TU SUI SS=17-68070</t>
  </si>
  <si>
    <t>TU SUI SS=17-68069</t>
  </si>
  <si>
    <t>TU SUI SS=17-68071</t>
  </si>
  <si>
    <t>TU SUI SS=17-68066</t>
  </si>
  <si>
    <t>TU SUI SS=17-68067</t>
  </si>
  <si>
    <t>TU SUI SS=17-68068</t>
  </si>
  <si>
    <t>TU SUI SS=17-68065</t>
  </si>
  <si>
    <t>LRM17262.LRT</t>
  </si>
  <si>
    <t>520 cfs</t>
  </si>
  <si>
    <t>LRM17236.LRT</t>
  </si>
  <si>
    <t>NTT</t>
  </si>
  <si>
    <t>LRM17157.LRT</t>
  </si>
  <si>
    <t>trap ops normal. Discharge: 11400 CFS.</t>
  </si>
  <si>
    <t>LRM17176.LRT</t>
  </si>
  <si>
    <t>LRM17235.LRT</t>
  </si>
  <si>
    <t>467 cfs</t>
  </si>
  <si>
    <t>LRM17111.LRT</t>
  </si>
  <si>
    <t>trap ops normal. 1 fish fell out of net into river.  discharge: 5900</t>
  </si>
  <si>
    <t>TU SUI ss:17-68172</t>
  </si>
  <si>
    <t>TU SUI ss:17-68163</t>
  </si>
  <si>
    <t>TU SUI ss:17-68164</t>
  </si>
  <si>
    <t>TU SUI ss:17-68161</t>
  </si>
  <si>
    <t>TU SUI ss:17-68173</t>
  </si>
  <si>
    <t>TU SUI ss:17-68167</t>
  </si>
  <si>
    <t>TU SUI ss:17-68156</t>
  </si>
  <si>
    <t>TU SUI ss:17-68149</t>
  </si>
  <si>
    <t>TU SUI ss:17-68147</t>
  </si>
  <si>
    <t>TU SUI ss:17-68169</t>
  </si>
  <si>
    <t>TU SUI ss:17-68146</t>
  </si>
  <si>
    <t>TU SUI ss:17-68158</t>
  </si>
  <si>
    <t>TU SUI ss:17-68174</t>
  </si>
  <si>
    <t>TU SUI ss:17-68159</t>
  </si>
  <si>
    <t>TU SUI ss:17-68170</t>
  </si>
  <si>
    <t>TU SUI ss:17-68166</t>
  </si>
  <si>
    <t>TU SUI ss:17-68153</t>
  </si>
  <si>
    <t>TU SUI ss:17-68154</t>
  </si>
  <si>
    <t>LRM17065.LRT</t>
  </si>
  <si>
    <t>LRM17135.LRT</t>
  </si>
  <si>
    <t>TU SUI; Scales: 17-76501</t>
  </si>
  <si>
    <t>ops normal; A-frame on outside trap broken this morning when I pulled traps over to shore. All 4 fish were caught in the outside trap. Outside trap is not fishing until we get a replacement piece for the broken A-frame support.</t>
  </si>
  <si>
    <t>TU SUI; Scales: 17-76502</t>
  </si>
  <si>
    <t>TU SUI; Scales: 17-76500</t>
  </si>
  <si>
    <t>TU SUI; Scales: 17-76503</t>
  </si>
  <si>
    <t>LRM17297.LRT</t>
  </si>
  <si>
    <t>TU SUI SS=17-76591</t>
  </si>
  <si>
    <t>TU SUI SS=17-76590</t>
  </si>
  <si>
    <t>TU SUI SS=17-76589</t>
  </si>
  <si>
    <t>LRM17232.LRT</t>
  </si>
  <si>
    <t>481 cfs</t>
  </si>
  <si>
    <t>LRM17201.LRT</t>
  </si>
  <si>
    <t>BOWSER J</t>
  </si>
  <si>
    <t>TU SUI ss:17-68160</t>
  </si>
  <si>
    <t>TU SUI ss:17-68151</t>
  </si>
  <si>
    <t>TU SUI ss:17-68165</t>
  </si>
  <si>
    <t>TU SUI ss:17-68168</t>
  </si>
  <si>
    <t>TU SUI ss:17-68171</t>
  </si>
  <si>
    <t>TU SUI ss:17-68162</t>
  </si>
  <si>
    <t>TU SUI ss:17-68152</t>
  </si>
  <si>
    <t>TU SUI ss:17-68155</t>
  </si>
  <si>
    <t>TU SUI ss:17-68150</t>
  </si>
  <si>
    <t>TU SUI ss:17-68157</t>
  </si>
  <si>
    <t>TU SUI ss:17-68148</t>
  </si>
  <si>
    <t>LRM17304.LRT</t>
  </si>
  <si>
    <t>655 cfs</t>
  </si>
  <si>
    <t>LRM17081.LRT</t>
  </si>
  <si>
    <t>LRM17100.LRT</t>
  </si>
  <si>
    <t>TU SUI ss:17-68033</t>
  </si>
  <si>
    <t>TU SUI ss: 17-68032</t>
  </si>
  <si>
    <t>LRM17248.LRT</t>
  </si>
  <si>
    <t>375 cfs</t>
  </si>
  <si>
    <t>LRM17104.LRT</t>
  </si>
  <si>
    <t>TU SUI SS=17-68049</t>
  </si>
  <si>
    <t>TU SUI SS=17-68048</t>
  </si>
  <si>
    <t>TU SUI SS=17-68050 Possibly hooked in eye?</t>
  </si>
  <si>
    <t>TU SUI  SS=17-68052</t>
  </si>
  <si>
    <t>TU SUI SS=17-68045</t>
  </si>
  <si>
    <t>TU SUI SS=17-68047</t>
  </si>
  <si>
    <t>TU SUI  SS=17-68053</t>
  </si>
  <si>
    <t>TU SUI SS=17-68051</t>
  </si>
  <si>
    <t>Longnose Sucker</t>
  </si>
  <si>
    <t>LRM17151.LRT</t>
  </si>
  <si>
    <t>trap ops normal. Discharge: 15000 CFS</t>
  </si>
  <si>
    <t>LRM17032.LRT</t>
  </si>
  <si>
    <t>H</t>
  </si>
  <si>
    <t>TEST T</t>
  </si>
  <si>
    <t>LRM17108.LRT</t>
  </si>
  <si>
    <t>TU SUI ss:17-68094</t>
  </si>
  <si>
    <t>trap ops normal. Discharge: 5550 cfs</t>
  </si>
  <si>
    <t>TU SUI ss: 17-68096</t>
  </si>
  <si>
    <t>RE ss:17-68091</t>
  </si>
  <si>
    <t>TU SUI ss:17-68093</t>
  </si>
  <si>
    <t>TU SUI ss:17-68095</t>
  </si>
  <si>
    <t>TU SUI ss:17-68090</t>
  </si>
  <si>
    <t>TU SUI ss:17-68097</t>
  </si>
  <si>
    <t>TU SUI ss:17-68092</t>
  </si>
  <si>
    <t>LRM17126.LRT</t>
  </si>
  <si>
    <t>trap ops normal. LOTS of debris in trap. 3 steelhead and 1 chinook jumps out of trap. Discharge: 12,600 CFS</t>
  </si>
  <si>
    <t>TU SUI ss:17-76448</t>
  </si>
  <si>
    <t>TU SUI ss:17-76451</t>
  </si>
  <si>
    <t>TU SUI ss:17-76442</t>
  </si>
  <si>
    <t>TU SUI ss:17-76455</t>
  </si>
  <si>
    <t>TU SUI ss:17-76441</t>
  </si>
  <si>
    <t>TU SUI ss:17-76443</t>
  </si>
  <si>
    <t>TU SUI ss:17-76459</t>
  </si>
  <si>
    <t>TU SUI ss:17-76452</t>
  </si>
  <si>
    <t>TU SUI ss:17-76449</t>
  </si>
  <si>
    <t>TU SUI ss:17-76447</t>
  </si>
  <si>
    <t>TU SUI ss:17-76456</t>
  </si>
  <si>
    <t>TU SUI ss:17-76457</t>
  </si>
  <si>
    <t>TU SUI ss:17-76445</t>
  </si>
  <si>
    <t>TU SUI ss:17-76458</t>
  </si>
  <si>
    <t>TU SUI ss:17-76450</t>
  </si>
  <si>
    <t>TU SUI  ss:17-76460</t>
  </si>
  <si>
    <t>TU SUI ss:17-76444</t>
  </si>
  <si>
    <t>TU SUI ss:17-76454</t>
  </si>
  <si>
    <t>TU SUI ss:17-76446</t>
  </si>
  <si>
    <t>LRM17129.LRT</t>
  </si>
  <si>
    <t>TU SUI SS=17-76473</t>
  </si>
  <si>
    <t>TU SUI SS=17-76476</t>
  </si>
  <si>
    <t>TU SUI SS=17-76479</t>
  </si>
  <si>
    <t>TU SUI SS=17-76478</t>
  </si>
  <si>
    <t>TU SUI SS=17-76477</t>
  </si>
  <si>
    <t>TU SUI SS=17-76475</t>
  </si>
  <si>
    <t>TU SUI SS=17-76474</t>
  </si>
  <si>
    <t>LRM17284.LRT</t>
  </si>
  <si>
    <t>480 cfs</t>
  </si>
  <si>
    <t>LRM17247.LRT</t>
  </si>
  <si>
    <t>381 cfs</t>
  </si>
  <si>
    <t>LRM17133.LRT</t>
  </si>
  <si>
    <t>TU SUI SS=17-76499</t>
  </si>
  <si>
    <t>TU SUI SS=17-76498</t>
  </si>
  <si>
    <t>TU SUI SS=17-76497</t>
  </si>
  <si>
    <t>LRM17093.LRT</t>
  </si>
  <si>
    <t>TU SUI ss: 17-68015</t>
  </si>
  <si>
    <t>LRM17099.LRT</t>
  </si>
  <si>
    <t>TU SUI ss: 17-68031</t>
  </si>
  <si>
    <t>TU SUI ss:17-68030</t>
  </si>
  <si>
    <t>TU SUI ss: 17-68029</t>
  </si>
  <si>
    <t>TU SUI ss: 17-68028</t>
  </si>
  <si>
    <t>LRM17120.LRT</t>
  </si>
  <si>
    <t>TU SUI SS=17-68356</t>
  </si>
  <si>
    <t>TU SUI SS=17-68357</t>
  </si>
  <si>
    <t>TU SUI SS=17-68365</t>
  </si>
  <si>
    <t>TU SUI SS=17-68355</t>
  </si>
  <si>
    <t>TU SUI SS=17-68352</t>
  </si>
  <si>
    <t>TU SUI SS=17-68346</t>
  </si>
  <si>
    <t>TU SUI SS=17-68354</t>
  </si>
  <si>
    <t>TU SUI SS=17-68351</t>
  </si>
  <si>
    <t>TU SUI SS=17-68348</t>
  </si>
  <si>
    <t>TU SUI SS=17-68358</t>
  </si>
  <si>
    <t>TU SUI SS=17-68349</t>
  </si>
  <si>
    <t>TU SUI SS=17-68360</t>
  </si>
  <si>
    <t>TU SUI SS=17-68362</t>
  </si>
  <si>
    <t>TU SUI SS=17-68350</t>
  </si>
  <si>
    <t>TU SUI SS=17-68353</t>
  </si>
  <si>
    <t>TU SUI SS=17-68361</t>
  </si>
  <si>
    <t>TU SUI SS=17-68347</t>
  </si>
  <si>
    <t>TU SUI SS=17-68359</t>
  </si>
  <si>
    <t>TU SUI SS=17-68364</t>
  </si>
  <si>
    <t>TU SUI SS=17-68363</t>
  </si>
  <si>
    <t>TU SUI SS=17-68046</t>
  </si>
  <si>
    <t>LRM17241.LRT</t>
  </si>
  <si>
    <t>LRM17121.LRT</t>
  </si>
  <si>
    <t>TU SUI ss:17-68379</t>
  </si>
  <si>
    <t>trap ops normal. Discharge: 6130 CFS</t>
  </si>
  <si>
    <t>ROSALES  A</t>
  </si>
  <si>
    <t>TU SUI ss:17-68384</t>
  </si>
  <si>
    <t>TU SUI ss: 17-68367</t>
  </si>
  <si>
    <t>TU SUI ss:17-68372</t>
  </si>
  <si>
    <t>TU SUI ss:17-68385</t>
  </si>
  <si>
    <t>TU SUI ss:17-68381</t>
  </si>
  <si>
    <t>TU SUI ss:17-68386</t>
  </si>
  <si>
    <t>TU SUI ss:17-68387</t>
  </si>
  <si>
    <t>TU SUI ss:17-68374</t>
  </si>
  <si>
    <t>TU SUI ss:17-68380</t>
  </si>
  <si>
    <t>TU SUI ss:17-68366</t>
  </si>
  <si>
    <t>LRM17118.LRT</t>
  </si>
  <si>
    <t>TU SUI SS=17-68334</t>
  </si>
  <si>
    <t>TU SUI SS=17-68331</t>
  </si>
  <si>
    <t>TU SUI SS=17-68337</t>
  </si>
  <si>
    <t>TU SUI SS=17-68332</t>
  </si>
  <si>
    <t>TU SUI SS=17-68333</t>
  </si>
  <si>
    <t>TU SUI SS=17-68338</t>
  </si>
  <si>
    <t>TU SUI SS=17-68336</t>
  </si>
  <si>
    <t>TU SUI SS=17-68335</t>
  </si>
  <si>
    <t>LRM17292.LRT</t>
  </si>
  <si>
    <t>LRM17174.LRT</t>
  </si>
  <si>
    <t>TU SUI ss:17-68373</t>
  </si>
  <si>
    <t>TU SUI ss:17-68370</t>
  </si>
  <si>
    <t>TU SUI ss:17-68375</t>
  </si>
  <si>
    <t>TU SUI ss:17-68383</t>
  </si>
  <si>
    <t>TU SUI ss:17-68382</t>
  </si>
  <si>
    <t>TU SUI ss:17-68368</t>
  </si>
  <si>
    <t>TU SUI ss:17-68377</t>
  </si>
  <si>
    <t>TU SUI ss:17-68369</t>
  </si>
  <si>
    <t>TU SUI ss:17-68378</t>
  </si>
  <si>
    <t>TU SUI ss:17-68376</t>
  </si>
  <si>
    <t>TU SUI ss:17-68371</t>
  </si>
  <si>
    <t>LRM17185.LRT</t>
  </si>
  <si>
    <t>Water too warm to tag</t>
  </si>
  <si>
    <t>LRM17272.LRT</t>
  </si>
  <si>
    <t>396 cfs</t>
  </si>
  <si>
    <t>LRM17246.LRT</t>
  </si>
  <si>
    <t>392 cfs</t>
  </si>
  <si>
    <t>LRM17212.LRT</t>
  </si>
  <si>
    <t>LRM17161.LRT</t>
  </si>
  <si>
    <t>Reattched raft rope to traps</t>
  </si>
  <si>
    <t>LRM17122.LRT</t>
  </si>
  <si>
    <t>Trap ops normal. Changed quick links for the pully system on the trap. Discharge: 6180 CFS. Ran out of scale envelopes</t>
  </si>
  <si>
    <t>TU SUI ss:17-68390</t>
  </si>
  <si>
    <t>TU SUI ss:17-68391</t>
  </si>
  <si>
    <t>TU SUI ss:17-68393</t>
  </si>
  <si>
    <t>TU SUI ss:17-68388</t>
  </si>
  <si>
    <t>TU SUI ss:17-68396</t>
  </si>
  <si>
    <t>TU SUI ss:17-68397</t>
  </si>
  <si>
    <t>TU SUI ss:17-68392</t>
  </si>
  <si>
    <t>TU SUI ss:17-68395</t>
  </si>
  <si>
    <t>TU SUI ss:17-68394</t>
  </si>
  <si>
    <t>TU SUI ss:17-68389</t>
  </si>
  <si>
    <t>TU SUI ss:17-68398</t>
  </si>
  <si>
    <t>TU SUI ss:17-68399</t>
  </si>
  <si>
    <t>TU SUI ss:17-68400</t>
  </si>
  <si>
    <t>LRM17238.LRT</t>
  </si>
  <si>
    <t>LRM17309.LRT</t>
  </si>
  <si>
    <t>LRM17113.LRT</t>
  </si>
  <si>
    <t>TU SUI ss: 17-68194</t>
  </si>
  <si>
    <t>trap ops normal. Discharge:6250</t>
  </si>
  <si>
    <t>TU SUI ss: 17-68192</t>
  </si>
  <si>
    <t>TU SUI ss: 17-68198</t>
  </si>
  <si>
    <t>TU SUI ss: 17-68203</t>
  </si>
  <si>
    <t>TU SUI ss: 17-68202</t>
  </si>
  <si>
    <t>TU SUI ss: 17-68191</t>
  </si>
  <si>
    <t>TU SUI ss: 17-68190</t>
  </si>
  <si>
    <t>TU SUI ss: 17-68201</t>
  </si>
  <si>
    <t>TU SUI ss: 17-68200</t>
  </si>
  <si>
    <t>TU SUI ss: 17-68196</t>
  </si>
  <si>
    <t>TU SUI ss: 17-68204</t>
  </si>
  <si>
    <t>TU SUI ss: 17-68197</t>
  </si>
  <si>
    <t>TU SUI ss: 17-68193</t>
  </si>
  <si>
    <t>LRM17266.LRT</t>
  </si>
  <si>
    <t>TU SUI SS=17-76564</t>
  </si>
  <si>
    <t>TU SUI SS=17-76563</t>
  </si>
  <si>
    <t>TU SUI SS=17-76565</t>
  </si>
  <si>
    <t>LRM17289.LRT</t>
  </si>
  <si>
    <t>DOBOS M</t>
  </si>
  <si>
    <t>LRM17080.LRT</t>
  </si>
  <si>
    <t>LRM17209.LRT</t>
  </si>
  <si>
    <t>Water too warm</t>
  </si>
  <si>
    <t>LRM17140.LRT</t>
  </si>
  <si>
    <t>fixed trap 1. Trap ops normal. Discharge: 7200 CFS</t>
  </si>
  <si>
    <t>TU SUI unable to record PIT tag</t>
  </si>
  <si>
    <t>LRM17190.LRT</t>
  </si>
  <si>
    <t>TU SUI SS=17-76553</t>
  </si>
  <si>
    <t>LRM17243.LRT</t>
  </si>
  <si>
    <t>409 cfs</t>
  </si>
  <si>
    <t>LRM17084.LRT</t>
  </si>
  <si>
    <t>TU SUI ss=17-68005</t>
  </si>
  <si>
    <t>TU SUI ss=17-68004</t>
  </si>
  <si>
    <t>LRM17192.LRT</t>
  </si>
  <si>
    <t>LRM17286.LRT</t>
  </si>
  <si>
    <t>525 cfs</t>
  </si>
  <si>
    <t>LRM17229.LRT</t>
  </si>
  <si>
    <t>LRM17234.LRT</t>
  </si>
  <si>
    <t>LRM17114.LRT</t>
  </si>
  <si>
    <t>TU SUI  SS=17-68215</t>
  </si>
  <si>
    <t>trap ops normal. Discharge: 6690 CFS</t>
  </si>
  <si>
    <t>TU SUI SS=17-68238</t>
  </si>
  <si>
    <t>TU SUI SS=17-68251</t>
  </si>
  <si>
    <t>TU SUI SS=17-68234</t>
  </si>
  <si>
    <t>TU SUI SS=17-68228</t>
  </si>
  <si>
    <t>TU SUI SS=17-68236</t>
  </si>
  <si>
    <t>TU SUI SS=17-68223</t>
  </si>
  <si>
    <t>TU SUI SS=17-68231</t>
  </si>
  <si>
    <t>TU SUI SS=17-68246</t>
  </si>
  <si>
    <t>TU SUI SS=17-68217</t>
  </si>
  <si>
    <t>TU SUI SS=17-68233</t>
  </si>
  <si>
    <t>TU SUI SS=17-68247</t>
  </si>
  <si>
    <t>TU SUI SS=17-68235</t>
  </si>
  <si>
    <t>TU SUI SS=17-68210</t>
  </si>
  <si>
    <t>TU SUI SS=17-68254</t>
  </si>
  <si>
    <t>TU SUI SS=17-68232</t>
  </si>
  <si>
    <t>TU SUI SS=17-68245</t>
  </si>
  <si>
    <t>TU SUI  SS=17-68208</t>
  </si>
  <si>
    <t>TU SUI SS=17-68212</t>
  </si>
  <si>
    <t>TU SUI SS=17-68240</t>
  </si>
  <si>
    <t>TU SUI SS=17-68229</t>
  </si>
  <si>
    <t>TU SUI SS=17-68244</t>
  </si>
  <si>
    <t>TU SUI SS=17-68255</t>
  </si>
  <si>
    <t>TU SUI SS=17-68224</t>
  </si>
  <si>
    <t>TU SUI SS=17-68252</t>
  </si>
  <si>
    <t>TU SUI SS=17-68222</t>
  </si>
  <si>
    <t>TU SUI SS=17-68250</t>
  </si>
  <si>
    <t>TU SUI SS=17-68241</t>
  </si>
  <si>
    <t>TU SUI SS=17-68218</t>
  </si>
  <si>
    <t>TU SUI  SS=17-68248</t>
  </si>
  <si>
    <t>TU SUI  SS=17-68207</t>
  </si>
  <si>
    <t>TU SUI SS=17-68237</t>
  </si>
  <si>
    <t>TU SUI SS=17-68243</t>
  </si>
  <si>
    <t>TU SUI SS=17-68249</t>
  </si>
  <si>
    <t>TU SUI  SS=17-68209</t>
  </si>
  <si>
    <t>TU SUI  SS=17-68211</t>
  </si>
  <si>
    <t>TU SUI SS=17-68227</t>
  </si>
  <si>
    <t>TU SUI  SS=17-68206</t>
  </si>
  <si>
    <t>TU SUI SS=17-68242</t>
  </si>
  <si>
    <t>TU SUI SS=17-68256</t>
  </si>
  <si>
    <t>TU SUI SS=17-68216</t>
  </si>
  <si>
    <t>TU SUI  SS=17-68230</t>
  </si>
  <si>
    <t>TU SUI SS=17-68221</t>
  </si>
  <si>
    <t>TU SUI  SS=17-68214</t>
  </si>
  <si>
    <t>TU SUI SS=17-68225</t>
  </si>
  <si>
    <t>TU SUI SS=17-68220</t>
  </si>
  <si>
    <t>TU SUI SS=17-68226</t>
  </si>
  <si>
    <t>TU SUI SS=17-68253</t>
  </si>
  <si>
    <t>TU SUI  SS=17-68213</t>
  </si>
  <si>
    <t>TU SUI SS=17-68239</t>
  </si>
  <si>
    <t>TU SUI SS=17-68219</t>
  </si>
  <si>
    <t>LRM17199.LRT</t>
  </si>
  <si>
    <t>BG&lt;1; CFS 1130; Position 50</t>
  </si>
  <si>
    <t>LRM17138.LRT</t>
  </si>
  <si>
    <t>TU SUI ss: 17-76507</t>
  </si>
  <si>
    <t>trap ops normal. Fishing inside trap AKA Trap 2.  Discharge: 7250 CFS</t>
  </si>
  <si>
    <t>LRM17253.LRT</t>
  </si>
  <si>
    <t>LRM17193.LRT</t>
  </si>
  <si>
    <t>LRM17123.LRT</t>
  </si>
  <si>
    <t>trap ops normal. Scrubbed the cone and pontoons. Discharge: 5900</t>
  </si>
  <si>
    <t>LRM17203.LRT</t>
  </si>
  <si>
    <t>LRM17110.LRT</t>
  </si>
  <si>
    <t>TU SUI ss:17-68131</t>
  </si>
  <si>
    <t>trap ops normal. Discharge 6040 CFS</t>
  </si>
  <si>
    <t>TU SUI ss:17-68118</t>
  </si>
  <si>
    <t>TU SUI ss:17-68123</t>
  </si>
  <si>
    <t>TU SUI ss:17-68137</t>
  </si>
  <si>
    <t>TU SUI ss:17-68121</t>
  </si>
  <si>
    <t>TU SUI ss:17-68126</t>
  </si>
  <si>
    <t>TU SUI ss:17-68144</t>
  </si>
  <si>
    <t>TU SUI ss:17-68120</t>
  </si>
  <si>
    <t>TU SUI ss:17-68141</t>
  </si>
  <si>
    <t>TU SUI ss:17-68128</t>
  </si>
  <si>
    <t>TU SUI ss:17-68139</t>
  </si>
  <si>
    <t>TU SUI ss:17-68145</t>
  </si>
  <si>
    <t>TU SUI ss:17-68135</t>
  </si>
  <si>
    <t>TU SUI ss:17-68125</t>
  </si>
  <si>
    <t>TU SUI ss:17-68142</t>
  </si>
  <si>
    <t>TU SUI ss:17-68124</t>
  </si>
  <si>
    <t>TU SUI ss:17-68136</t>
  </si>
  <si>
    <t>TU SUI ss:17-68132</t>
  </si>
  <si>
    <t>TU SUI ss:17-68133</t>
  </si>
  <si>
    <t>TU SUI ss:17-68130</t>
  </si>
  <si>
    <t>TU SUI ss:17-68119</t>
  </si>
  <si>
    <t>TU SUI ss:17-68134</t>
  </si>
  <si>
    <t>TU SUI ss:17-68140</t>
  </si>
  <si>
    <t>TU SUI ss:17-68127</t>
  </si>
  <si>
    <t>TU SUI ss:17-68122</t>
  </si>
  <si>
    <t>TU SUI ss:17-68138</t>
  </si>
  <si>
    <t>TU SUI ss:17-68143</t>
  </si>
  <si>
    <t>TU SUI ss:17-68129</t>
  </si>
  <si>
    <t>LRM17306.LRT</t>
  </si>
  <si>
    <t>LRM17155.LRT</t>
  </si>
  <si>
    <t>TU SUI ss:17-76533</t>
  </si>
  <si>
    <t>trap ops normal.</t>
  </si>
  <si>
    <t>LRM17283.LRT</t>
  </si>
  <si>
    <t>LRM17166.LRT</t>
  </si>
  <si>
    <t>trapops normal. Bolt that connected the pontoons together sheared through the brace. Will keep an eye on it. Discharge: 6250 CFS</t>
  </si>
  <si>
    <t>LRM17171.LRT</t>
  </si>
  <si>
    <t>trap ops normal. Tearing is occuring on both pontoons of Trap 2. This is occuring on the cross bar. Both sides are being lifted up and it is damaging the pontoons. Discharge:6080 CFS</t>
  </si>
  <si>
    <t>LRM17305.LRT</t>
  </si>
  <si>
    <t>608 cfs</t>
  </si>
  <si>
    <t>LRM17274.LRT</t>
  </si>
  <si>
    <t>510 cfs</t>
  </si>
  <si>
    <t>LRM17197.LRT</t>
  </si>
  <si>
    <t>BG&lt;1; CFS 1130; Position 60</t>
  </si>
  <si>
    <t>TU SUI ss: 17-68195</t>
  </si>
  <si>
    <t>TU SUI ss: 17-68199</t>
  </si>
  <si>
    <t>TU SUI ss 17-68188</t>
  </si>
  <si>
    <t>TU SUI ss: 17-68205</t>
  </si>
  <si>
    <t>TU SUI ss 17-68189</t>
  </si>
  <si>
    <t>LRM17087.LRT</t>
  </si>
  <si>
    <t>TU SUI ss=17-68011</t>
  </si>
  <si>
    <t>LRM17178.LRT</t>
  </si>
  <si>
    <t>trap ops normal. Discharge: 3490 CFS</t>
  </si>
  <si>
    <t>LRM17179.LRT</t>
  </si>
  <si>
    <t>trap ops normal. Discharge: 3450 CFS</t>
  </si>
  <si>
    <t>LRM17237.LRT</t>
  </si>
  <si>
    <t>LRM17119.LRT</t>
  </si>
  <si>
    <t>TU SUI SS=17-68344</t>
  </si>
  <si>
    <t>TU SUI SS=17-68345</t>
  </si>
  <si>
    <t>TU SUI SS=17-68343</t>
  </si>
  <si>
    <t>TU SUI SS=17-68339</t>
  </si>
  <si>
    <t>TU SUI SS=17-68341</t>
  </si>
  <si>
    <t>TU SUI SS=17-68342</t>
  </si>
  <si>
    <t>TU SUI SS=17-68340</t>
  </si>
  <si>
    <t>LRM17269.LRT</t>
  </si>
  <si>
    <t>TU SUI SS=17-76569</t>
  </si>
  <si>
    <t>LRM17261.LRT</t>
  </si>
  <si>
    <t>LRM17251.LRT</t>
  </si>
  <si>
    <t>LRM17200.LRT</t>
  </si>
  <si>
    <t>LRM17169.LRT</t>
  </si>
  <si>
    <t>trap ops normal. Discharge: 7000</t>
  </si>
  <si>
    <t>TU SUI ss: 17-76548</t>
  </si>
  <si>
    <t>LRM17281.LRT</t>
  </si>
  <si>
    <t>LRM17282.LRT</t>
  </si>
  <si>
    <t>TU SUI SS=17-76580</t>
  </si>
  <si>
    <t>LRM17167.LRT</t>
  </si>
  <si>
    <t>trap ops normal. Discharge: 7420 CFS</t>
  </si>
  <si>
    <t>TU SUI ss: 17-76545</t>
  </si>
  <si>
    <t>LRM17310.LRT</t>
  </si>
  <si>
    <t>Raised cone after releasing fish</t>
  </si>
  <si>
    <t>LRM17187.LRT</t>
  </si>
  <si>
    <t>Water too warm to tag or MS fish. Moved trap farther out. Now fishing at 95 feet on placement photo.</t>
  </si>
  <si>
    <t>LRM17271.LRT</t>
  </si>
  <si>
    <t>415 cfs</t>
  </si>
  <si>
    <t>TU SUI; Scales: 17-76571</t>
  </si>
  <si>
    <t>LRM17279.LRT</t>
  </si>
  <si>
    <t>LRM17082.LRT</t>
  </si>
  <si>
    <t>TU SUI ss=17-68001</t>
  </si>
  <si>
    <t>LRM17149.LRT</t>
  </si>
  <si>
    <t>trap ops normal. Discharge: 12300 CFS</t>
  </si>
  <si>
    <t>LRM17195.LRT</t>
  </si>
  <si>
    <t>LRM17115.LRT</t>
  </si>
  <si>
    <t>TU SUI SS=17-68288 wound below dorsal</t>
  </si>
  <si>
    <t>trap ops normal. DIscharge: 6880 CFS</t>
  </si>
  <si>
    <t>TU SUI SS=17-68279</t>
  </si>
  <si>
    <t>TU SUI SS=17-68273</t>
  </si>
  <si>
    <t>TU SUI SS=17-68277</t>
  </si>
  <si>
    <t>TU SUI  SS=17-68258</t>
  </si>
  <si>
    <t>TU SUI SS=17-68281</t>
  </si>
  <si>
    <t>TU SUI SS=17-68267</t>
  </si>
  <si>
    <t>TU SUI SS=17-68270</t>
  </si>
  <si>
    <t>TU SUI SS=17-68286</t>
  </si>
  <si>
    <t>TU SUI SS=17-68284</t>
  </si>
  <si>
    <t>TU SUI  SS=17-68257</t>
  </si>
  <si>
    <t>TU SUI SS=17-68278</t>
  </si>
  <si>
    <t>TU SUI SS=17-68268</t>
  </si>
  <si>
    <t>TU SUI SS=17-68285</t>
  </si>
  <si>
    <t>TU SUI SS=17-68259</t>
  </si>
  <si>
    <t>TU SUI SS=17-68260</t>
  </si>
  <si>
    <t>TU SUI SS=17-68261</t>
  </si>
  <si>
    <t>TU SUI SS=17-68283</t>
  </si>
  <si>
    <t>TU SUI SS=17-68264</t>
  </si>
  <si>
    <t>TU SUI SS=17-68282</t>
  </si>
  <si>
    <t>TU SUI SS=17-68274</t>
  </si>
  <si>
    <t>TU SUI SS=17-68263</t>
  </si>
  <si>
    <t>TU SUI SS=17-68276</t>
  </si>
  <si>
    <t>TU SUI SS=17-68266</t>
  </si>
  <si>
    <t>TU SUI SS=17-68280</t>
  </si>
  <si>
    <t>TU SUI SS=17-68272</t>
  </si>
  <si>
    <t>TU SUI SS=17-68269</t>
  </si>
  <si>
    <t>TU SUI SS=17-68271</t>
  </si>
  <si>
    <t>TU SUI SS=17-68275</t>
  </si>
  <si>
    <t>TU SUI SS=17-68287</t>
  </si>
  <si>
    <t>TU SUI SS=17-68265</t>
  </si>
  <si>
    <t>TU SUI SS=17-68290</t>
  </si>
  <si>
    <t>TU SUI SS=17-68262</t>
  </si>
  <si>
    <t>TU SUI SS=17-68289</t>
  </si>
  <si>
    <t>LRM17142.LRT</t>
  </si>
  <si>
    <t>TU SUI SS=17-76515</t>
  </si>
  <si>
    <t>trap ops  normal. Trap 2 (inside Trap) was spinning at 12 RPM while Trap 1 was at 15 RPM.  Discharge: 8940</t>
  </si>
  <si>
    <t>TU SUI SS=17-76518</t>
  </si>
  <si>
    <t>TU SUI SS=17-76521</t>
  </si>
  <si>
    <t>TU SUI SS=17-76524</t>
  </si>
  <si>
    <t>TU SUI SS=17-76514</t>
  </si>
  <si>
    <t>TU SUI SS=17-76519</t>
  </si>
  <si>
    <t>TU SUI SS=17-76517</t>
  </si>
  <si>
    <t>TU SUI SS=17-76523</t>
  </si>
  <si>
    <t>TU SUI SS=17-76516</t>
  </si>
  <si>
    <t>TU SUI SS=17-76520</t>
  </si>
  <si>
    <t>TU SUI SS=17-76522</t>
  </si>
  <si>
    <t>TU SUI ss: 17-76546</t>
  </si>
  <si>
    <t>LRM17154.LRT</t>
  </si>
  <si>
    <t>TU SUI SS=17-76532</t>
  </si>
  <si>
    <t>LRM17245.LRT</t>
  </si>
  <si>
    <t>LRM17204.LRT</t>
  </si>
  <si>
    <t>LRM17252.LRT</t>
  </si>
  <si>
    <t>LRM17296.LRT</t>
  </si>
  <si>
    <t>TU SUI SS=17-76586</t>
  </si>
  <si>
    <t>TU SUI SS=17-76587</t>
  </si>
  <si>
    <t>TU SUI SS=17-76588</t>
  </si>
  <si>
    <t>TU SUI SS=17-76583</t>
  </si>
  <si>
    <t>TU SUI SS=17-76584</t>
  </si>
  <si>
    <t>TU SUI SS=17-76582</t>
  </si>
  <si>
    <t>TU SUI SS=17-76585</t>
  </si>
  <si>
    <t>LRM17070.LRT</t>
  </si>
  <si>
    <t>LRM17143.LRT</t>
  </si>
  <si>
    <t>TU SUI ss:17-76527</t>
  </si>
  <si>
    <t>Trap ops normal. Discharge: 11200 CFS</t>
  </si>
  <si>
    <t>LRM17168.LRT</t>
  </si>
  <si>
    <t>trap ops normal. Discharge:8760 CFS</t>
  </si>
  <si>
    <t>TU SUI ss:17-76547</t>
  </si>
  <si>
    <t>LRM17083.LRT</t>
  </si>
  <si>
    <t>TU SUI ss=17-68002</t>
  </si>
  <si>
    <t>TU SUI ss=17-68003</t>
  </si>
  <si>
    <t>LRM17086.LRT</t>
  </si>
  <si>
    <t>TU SUI ss=17-68008</t>
  </si>
  <si>
    <t>TU SUI ss=17-68010</t>
  </si>
  <si>
    <t>TU SUI ss=17-68009</t>
  </si>
  <si>
    <t>LRM17158.LRT</t>
  </si>
  <si>
    <t>TU SUI ss:17-76539</t>
  </si>
  <si>
    <t>trap ops normal. Discharge: 10300 CFS</t>
  </si>
  <si>
    <t>TU SUI ss:17-76538</t>
  </si>
  <si>
    <t>LRM17291.LRT</t>
  </si>
  <si>
    <t>TU SUI ss:17-76528</t>
  </si>
  <si>
    <t>RE ss:17-76525</t>
  </si>
  <si>
    <t>TU SUI ss:17-76526</t>
  </si>
  <si>
    <t>TU SUI ss:17-76529</t>
  </si>
  <si>
    <t>TU SUI ss:17-76530</t>
  </si>
  <si>
    <t>LRM17288.LRT</t>
  </si>
  <si>
    <t>LRM17116.LRT</t>
  </si>
  <si>
    <t>trap ops normal. Discharge: 6790 CFS</t>
  </si>
  <si>
    <t>TU SUI ss:17-68313</t>
  </si>
  <si>
    <t>TU SUI ss:17-68310</t>
  </si>
  <si>
    <t>TU SUI ss:17-68307</t>
  </si>
  <si>
    <t>TU SUI ss:17-68312</t>
  </si>
  <si>
    <t>TU SUI ss:17-68302</t>
  </si>
  <si>
    <t>TU SUI ss:17-68301</t>
  </si>
  <si>
    <t>TU SUI ss:17-68305</t>
  </si>
  <si>
    <t>TU SUI ss:17-68298</t>
  </si>
  <si>
    <t>TU SUI ss:17-68304</t>
  </si>
  <si>
    <t>TU SUI ss:17-68311</t>
  </si>
  <si>
    <t>TU SUI ss:17-68292</t>
  </si>
  <si>
    <t>TU SUI ss:17-68303</t>
  </si>
  <si>
    <t>TU SUI ss:17-68296</t>
  </si>
  <si>
    <t>TU SUI ss:17-68293</t>
  </si>
  <si>
    <t>TU SUI ss:17-68300</t>
  </si>
  <si>
    <t>TU SUI ss;17-68308</t>
  </si>
  <si>
    <t>TU SUI ss:17-68294</t>
  </si>
  <si>
    <t>TU SUI ss:17-68297</t>
  </si>
  <si>
    <t>TU SUI ss:17-68299</t>
  </si>
  <si>
    <t>TU SUI ss:17-68309</t>
  </si>
  <si>
    <t>TU SUI ss:17-68306</t>
  </si>
  <si>
    <t>TU SUI ss:17-68295</t>
  </si>
  <si>
    <t>TU SUI ss=17-68291</t>
  </si>
  <si>
    <t>LRM17295.LRT</t>
  </si>
  <si>
    <t>LRM17105.LRT</t>
  </si>
  <si>
    <t>TU SUI SS=17-68057</t>
  </si>
  <si>
    <t>Put raft rope back on trap just in case the water starts coming up again with the warm weather</t>
  </si>
  <si>
    <t>TU SUI  SS=17-68063</t>
  </si>
  <si>
    <t>TU SUI SS=17-68059</t>
  </si>
  <si>
    <t>LRM17257.LRT</t>
  </si>
  <si>
    <t>348 cfs</t>
  </si>
  <si>
    <t>LRM17159.LRT</t>
  </si>
  <si>
    <t>TU SUI SS=17-76540</t>
  </si>
  <si>
    <t>LRM17198.LRT</t>
  </si>
  <si>
    <t>Normal Ops.</t>
  </si>
  <si>
    <t>LRM17188.LRT</t>
  </si>
  <si>
    <t>LRM17103.LRT</t>
  </si>
  <si>
    <t>TU SUI SS=17-68041</t>
  </si>
  <si>
    <t>LRM17181.LRT</t>
  </si>
  <si>
    <t>Trap cone occasionally hitting bottom. I moved the trap further out after working up the fish</t>
  </si>
  <si>
    <t>TU SUI SS=17-68060</t>
  </si>
  <si>
    <t>B</t>
  </si>
  <si>
    <t>TU SUI SS=17-68061</t>
  </si>
  <si>
    <t>TU SUI SS=17-68064</t>
  </si>
  <si>
    <t>TU SUI SS=17-68058</t>
  </si>
  <si>
    <t>TU SUI SS=17-68054</t>
  </si>
  <si>
    <t>TU SUI  SS=17-68055</t>
  </si>
  <si>
    <t>TU SUI SS=17-68062</t>
  </si>
  <si>
    <t>TU SUI  SS=17-68056</t>
  </si>
  <si>
    <t>LRM17260.LRT</t>
  </si>
  <si>
    <t>TU SUI SS=17-68037</t>
  </si>
  <si>
    <t>TU SUI SS=17-68039</t>
  </si>
  <si>
    <t>TU SUI SS=17-68044</t>
  </si>
  <si>
    <t>TU SUI SS=17-68042</t>
  </si>
  <si>
    <t>TU SUI SS=17-68043</t>
  </si>
  <si>
    <t>TU SUI SS=17-68040</t>
  </si>
  <si>
    <t>TU SUI SS=17-68038</t>
  </si>
  <si>
    <t>LRM17156.LRT</t>
  </si>
  <si>
    <t>TU SUI ss:17-76534</t>
  </si>
  <si>
    <t>trap ops normal. Discharge:13200 CFS. WIll now switch CSS PIT tags over to ISMES tags.</t>
  </si>
  <si>
    <t>TU SUI ss:17-76536</t>
  </si>
  <si>
    <t>TU SUI ss:17-76535</t>
  </si>
  <si>
    <t>LRM17270.LRT</t>
  </si>
  <si>
    <t>TU SUI SS=17-76570</t>
  </si>
  <si>
    <t>LRM17147.LRT</t>
  </si>
  <si>
    <t>LRM17090.LRT</t>
  </si>
  <si>
    <t>TU SUI ss=17-68013</t>
  </si>
  <si>
    <t>LRM17301.LRT</t>
  </si>
  <si>
    <t>765 cfs</t>
  </si>
  <si>
    <t>LRM17196.LRT</t>
  </si>
  <si>
    <t>Normal Ops; BG &lt; 1; CFS 1170</t>
  </si>
  <si>
    <t>LRM17160.LRT</t>
  </si>
  <si>
    <t>TU SUI SS=17-76541</t>
  </si>
  <si>
    <t>LRM17216.LRT</t>
  </si>
  <si>
    <t>647 cfs...raised the cone on the trap since it was hitting rocks.</t>
  </si>
  <si>
    <t>LRM17071.LRT</t>
  </si>
  <si>
    <t>LRM17127.LRT</t>
  </si>
  <si>
    <t>TU SUI ss:17-76469</t>
  </si>
  <si>
    <t>trap 2 was only going at 8 RPM. Due to debris building up in the cone.  Discharge:12400CFS</t>
  </si>
  <si>
    <t>TU SUI ss:17-76461</t>
  </si>
  <si>
    <t>TU SUI ss:17-76463</t>
  </si>
  <si>
    <t>TU SUI ss:17-76466</t>
  </si>
  <si>
    <t>TU SUI ss:17-76467</t>
  </si>
  <si>
    <t>TU SUI ss:17-76472</t>
  </si>
  <si>
    <t>LRM17249.LRT</t>
  </si>
  <si>
    <t>LRM17109.LRT</t>
  </si>
  <si>
    <t>TU SUI ss:17-68113</t>
  </si>
  <si>
    <t>trap ops normal. Discharge: 5720 CFS</t>
  </si>
  <si>
    <t>TU SUI ss:17-68112</t>
  </si>
  <si>
    <t>TU SUI ss:17-68114</t>
  </si>
  <si>
    <t>TU SUI ss:17-68106</t>
  </si>
  <si>
    <t>TU SUI ss:17-68108</t>
  </si>
  <si>
    <t>TU SUI ss:17-68111</t>
  </si>
  <si>
    <t>TU SUI ss:17-68100</t>
  </si>
  <si>
    <t>TU SUI ss:17-68109</t>
  </si>
  <si>
    <t>TU SUI ss: 17-68117</t>
  </si>
  <si>
    <t>TU SUI ss:17-68105</t>
  </si>
  <si>
    <t>TU SUI ss:17-68102</t>
  </si>
  <si>
    <t>LRM17098.LRT</t>
  </si>
  <si>
    <t>TU SUI ss:17-68025</t>
  </si>
  <si>
    <t>TU SUI ss 17-68027</t>
  </si>
  <si>
    <t>TG</t>
  </si>
  <si>
    <t>ADULT</t>
  </si>
  <si>
    <t>TU SUI ss 17-68026</t>
  </si>
  <si>
    <t>LRM17095.LRT</t>
  </si>
  <si>
    <t>TU SUI ss: 17-68017</t>
  </si>
  <si>
    <t>TU SUI ss:17-68019</t>
  </si>
  <si>
    <t>TU SUI ss: 17-68018</t>
  </si>
  <si>
    <t>LRM17259.LRT</t>
  </si>
  <si>
    <t>386 cfs</t>
  </si>
  <si>
    <t>LRM17303.LRT</t>
  </si>
  <si>
    <t>680 cfs</t>
  </si>
  <si>
    <t>LRM17172.LRT</t>
  </si>
  <si>
    <t>trap ops normal. Trap 2 not fishing. Discharge:6060 CFS</t>
  </si>
  <si>
    <t>LRM17275.LRT</t>
  </si>
  <si>
    <t>600 cfs</t>
  </si>
  <si>
    <t>TU SUI; Scales: 17-76574</t>
  </si>
  <si>
    <t>TU SUI; Scales: 17-76576</t>
  </si>
  <si>
    <t>TU SUI; Scales: 17-76572</t>
  </si>
  <si>
    <t>TU SUI; Scales: 17-76575</t>
  </si>
  <si>
    <t>TU SUI; Scales: 17-76573</t>
  </si>
  <si>
    <t>TU SUI ss:17-76464</t>
  </si>
  <si>
    <t>TU SUI ss:17-76471</t>
  </si>
  <si>
    <t>TU SUI ss:17-76462</t>
  </si>
  <si>
    <t>TU SUI ss:17-76470</t>
  </si>
  <si>
    <t>TU SUI ss:17-76465</t>
  </si>
  <si>
    <t>TU SUI ss:17-76468</t>
  </si>
  <si>
    <t>LRM17194.LRT</t>
  </si>
  <si>
    <t>LRM17277.LRT</t>
  </si>
  <si>
    <t>TU SUI; Scales: 17-76577</t>
  </si>
  <si>
    <t>TU SUI; Scales: 17-67578</t>
  </si>
  <si>
    <t>TU SUI ss:17-68104</t>
  </si>
  <si>
    <t>TU SUI ss:17-68115</t>
  </si>
  <si>
    <t>TU SUI ss:17-68116</t>
  </si>
  <si>
    <t>TU SUI ss:17-68110</t>
  </si>
  <si>
    <t>TU SUI ss:17-68098</t>
  </si>
  <si>
    <t>TU SUI ss:17-68107</t>
  </si>
  <si>
    <t>TU SUI ss:17-68103</t>
  </si>
  <si>
    <t>TU SUI ss:17-68099</t>
  </si>
  <si>
    <t>TU SUI ss:17-68101</t>
  </si>
  <si>
    <t>LRM17210.LRT</t>
  </si>
  <si>
    <t>Water too hot</t>
  </si>
  <si>
    <t>LRM17215.LRT</t>
  </si>
  <si>
    <t>663 cfs</t>
  </si>
  <si>
    <t>LRM17268.LRT</t>
  </si>
  <si>
    <t>TU SUI SS=17-76567</t>
  </si>
  <si>
    <t>TU SUI SS=17-76568</t>
  </si>
  <si>
    <t>LRM17300.LRT</t>
  </si>
  <si>
    <t>837 cfs; got trap moved in to 100 feet. RPMs at 7 after moving. Enumerated LSS and NPM that were in the trap box.</t>
  </si>
  <si>
    <t>TU SUI; Scales: 17-76592</t>
  </si>
  <si>
    <t>LRM17131.LRT</t>
  </si>
  <si>
    <t>TU SUI SS=17-76490</t>
  </si>
  <si>
    <t>TU SUI SS=17-76491</t>
  </si>
  <si>
    <t>TU SUI SS=17-76492</t>
  </si>
  <si>
    <t>LRM17146.LRT</t>
  </si>
  <si>
    <t>LRM17097.LRT</t>
  </si>
  <si>
    <t>TU SUI ss:17-68022</t>
  </si>
  <si>
    <t>TU SUI ss: 17-68023</t>
  </si>
  <si>
    <t>RE ss: 17-68024</t>
  </si>
  <si>
    <t>LRM17263.LRT</t>
  </si>
  <si>
    <t>TU SUI SS=17-76562</t>
  </si>
  <si>
    <t>Raised cone after tagging</t>
  </si>
  <si>
    <t>TU SUI SS=17-76557</t>
  </si>
  <si>
    <t>TU SUI SS=17-76560</t>
  </si>
  <si>
    <t>TU SUI SS=17-76558</t>
  </si>
  <si>
    <t>TU SUI SS=17-76559</t>
  </si>
  <si>
    <t>TU SUI SS=17-76561</t>
  </si>
  <si>
    <t>LRM17278.LRT</t>
  </si>
  <si>
    <t>LRM17102.LRT</t>
  </si>
  <si>
    <t>TU SUI ss:17-68035</t>
  </si>
  <si>
    <t>LRM17256.LRT</t>
  </si>
  <si>
    <t>LRM17101.LRT</t>
  </si>
  <si>
    <t>TU SUI ss:17-68034</t>
  </si>
  <si>
    <t>LRM17085.LRT</t>
  </si>
  <si>
    <t>TU SUI ss=17-68007</t>
  </si>
  <si>
    <t>TU SUI ss=17-68006</t>
  </si>
  <si>
    <t>LRM17175.LRT</t>
  </si>
  <si>
    <t>LRM17230.LRT</t>
  </si>
  <si>
    <t>LRM17091.LRT</t>
  </si>
  <si>
    <t>LRM17107.LRT</t>
  </si>
  <si>
    <t>TU SUI ss:17-68085</t>
  </si>
  <si>
    <t>trap ops normal. Discharge: 5330 CFS</t>
  </si>
  <si>
    <t>TU SUI ss:17-68084</t>
  </si>
  <si>
    <t>TU SUI ss:17-68087</t>
  </si>
  <si>
    <t>TU SUI ss:17-68080</t>
  </si>
  <si>
    <t>TU SUI ss:17-68081</t>
  </si>
  <si>
    <t>TU SUI ss:17-68089</t>
  </si>
  <si>
    <t>TU SUI ss:17-68076</t>
  </si>
  <si>
    <t>TU SUI ss:17-68074</t>
  </si>
  <si>
    <t>TU SUI ss:17-68083</t>
  </si>
  <si>
    <t>LRM17184.LRT</t>
  </si>
  <si>
    <t>Water to warm to handle fish</t>
  </si>
  <si>
    <t>LRM17144.LRT</t>
  </si>
  <si>
    <t>TD</t>
  </si>
  <si>
    <t>TD SS=17-76531</t>
  </si>
  <si>
    <t>Trap one wasn''''t fishing because of log in the cone</t>
  </si>
  <si>
    <t>LRM17211.LRT</t>
  </si>
  <si>
    <t>LRM17191.LRT</t>
  </si>
  <si>
    <t>LRM17177.LRT</t>
  </si>
  <si>
    <t>TU SUI ss:17-76554</t>
  </si>
  <si>
    <t>trap ops normal. Discharge: 3630 CFS</t>
  </si>
  <si>
    <t>TU SUI ss: 17-68036</t>
  </si>
  <si>
    <t>LRM17164.LRT</t>
  </si>
  <si>
    <t>trap ops normal. Saw a Kelt swimming downstream Discharge: 7250</t>
  </si>
  <si>
    <t>TU SUI ss:17-76543</t>
  </si>
  <si>
    <t>LRM17242.LRT</t>
  </si>
  <si>
    <t>LRM17202.LRT</t>
  </si>
  <si>
    <t>TU SUI ss:17-68077</t>
  </si>
  <si>
    <t>TU SUI ss:17-68088</t>
  </si>
  <si>
    <t>Dace</t>
  </si>
  <si>
    <t>TU SUI ss:17-68078</t>
  </si>
  <si>
    <t>TU SUI ss:17-68086</t>
  </si>
  <si>
    <t>TU SUI ss:17-68075</t>
  </si>
  <si>
    <t>TU SUI ss:17-68082</t>
  </si>
  <si>
    <t>TU SUI ss:17-68079</t>
  </si>
  <si>
    <t>LRM17180.LRT</t>
  </si>
  <si>
    <t>TU SUI SS=17-76555</t>
  </si>
  <si>
    <t>LRM17128.LRT</t>
  </si>
  <si>
    <t>Pulled chunk of wood out of trap 2''''s cone and aired up its flat tire</t>
  </si>
  <si>
    <t>LRM17186.LRT</t>
  </si>
  <si>
    <t>LRM17165.LRT</t>
  </si>
  <si>
    <t>TU SUI ss:17-76544</t>
  </si>
  <si>
    <t>trap ops normal. Found a sucker fish head inthe trap. Discharge: 7420 CFS</t>
  </si>
  <si>
    <t>LRM17136.LRT</t>
  </si>
  <si>
    <t>TU SUI; Scales: 17-76504</t>
  </si>
  <si>
    <t>ops normal; only fishing inside trap.</t>
  </si>
  <si>
    <t>TU SUI; Scales: 17-76505</t>
  </si>
  <si>
    <t>LRM17254.LRT</t>
  </si>
  <si>
    <t>LRM17073.LRT</t>
  </si>
  <si>
    <t>A frame broken</t>
  </si>
  <si>
    <t>LRM17183.LRT</t>
  </si>
  <si>
    <t>TU SUI SS=17-76556</t>
  </si>
  <si>
    <t>LRM17276.LRT</t>
  </si>
  <si>
    <t>570 cfs</t>
  </si>
  <si>
    <t>LRM17231.LRT</t>
  </si>
  <si>
    <t>496 cfs</t>
  </si>
  <si>
    <t>CTUIR – LSRCP</t>
  </si>
  <si>
    <t>LOOKINGGLASS CREEK SCREW TRAP</t>
  </si>
  <si>
    <t>DAILY OPERATIONS LOG</t>
  </si>
  <si>
    <t>FILE ID # (DOY)</t>
  </si>
  <si>
    <t>DATE (M/D/Y)</t>
  </si>
  <si>
    <t>TIME</t>
  </si>
  <si>
    <t>H2O TEMP (°C)</t>
  </si>
  <si>
    <t>TAGGER(S)</t>
  </si>
  <si>
    <t>SJB16______.LKG</t>
  </si>
  <si>
    <t>/      /16</t>
  </si>
  <si>
    <r>
      <t>:</t>
    </r>
    <r>
      <rPr>
        <sz val="20"/>
        <color theme="1"/>
        <rFont val="Calibri"/>
        <family val="2"/>
      </rPr>
      <t xml:space="preserve">         </t>
    </r>
  </si>
  <si>
    <t>.</t>
  </si>
  <si>
    <t>New PIT (11)</t>
  </si>
  <si>
    <t>TE Clip    (11)</t>
  </si>
  <si>
    <t>TE PIT RE     (10)</t>
  </si>
  <si>
    <t>TE CLIP RE     (10)</t>
  </si>
  <si>
    <t>Field RE    (9)</t>
  </si>
  <si>
    <t>Measure Only</t>
  </si>
  <si>
    <t>Measure and Genet.</t>
  </si>
  <si>
    <t>Count   Only</t>
  </si>
  <si>
    <t>BY Count Only</t>
  </si>
  <si>
    <t xml:space="preserve">MORT </t>
  </si>
  <si>
    <t>Juvenile Wild Chinook</t>
  </si>
  <si>
    <t>COMMENTS:</t>
  </si>
  <si>
    <t>11W TOTAL:</t>
  </si>
  <si>
    <t>Juvenile Wild Steelhead</t>
  </si>
  <si>
    <t>32W TOTAL:</t>
  </si>
  <si>
    <t>7RW TOTAL:</t>
  </si>
  <si>
    <t>OTHER SPECIES</t>
  </si>
  <si>
    <t>DACE:</t>
  </si>
  <si>
    <t>SCULPIN:</t>
  </si>
  <si>
    <t>WHITEFISH:</t>
  </si>
  <si>
    <t>OTHER:</t>
  </si>
  <si>
    <t>FIELD NOTES:</t>
  </si>
  <si>
    <t xml:space="preserve">Sac Fry/Fry will be caught from January to April and range from 25-50mm.  </t>
  </si>
  <si>
    <t>Parr will be caught from May-July and range from 51-70mm.</t>
  </si>
  <si>
    <t>After June 1, nothing will be referred to as Brood year young and will be clipped for efficiency June-July (50-59mm).</t>
  </si>
  <si>
    <t>Presmolts will be caught from August to December and range from 71-100mm.</t>
  </si>
  <si>
    <t xml:space="preserve">Smolts will be caught from January to June of following year and range from 71-120mm. </t>
  </si>
  <si>
    <t>Data checked Date: _____/______/_____ Initials: _______</t>
  </si>
  <si>
    <r>
      <t xml:space="preserve">□ </t>
    </r>
    <r>
      <rPr>
        <b/>
        <sz val="11"/>
        <color theme="1"/>
        <rFont val="Garamond"/>
        <family val="1"/>
      </rPr>
      <t xml:space="preserve"> </t>
    </r>
    <r>
      <rPr>
        <b/>
        <sz val="11"/>
        <color theme="1"/>
        <rFont val="Calibri"/>
        <family val="2"/>
      </rPr>
      <t xml:space="preserve">TRAP PULLED @ </t>
    </r>
    <r>
      <rPr>
        <b/>
        <u/>
        <sz val="11"/>
        <color theme="1"/>
        <rFont val="Calibri"/>
        <family val="2"/>
      </rPr>
      <t>_____:_____</t>
    </r>
    <r>
      <rPr>
        <b/>
        <sz val="11"/>
        <color theme="1"/>
        <rFont val="Calibri"/>
        <family val="2"/>
      </rPr>
      <t>AM / PM</t>
    </r>
  </si>
  <si>
    <t>Submitted to PTAGIS Date: _____/______/_____ Initials: _______</t>
  </si>
  <si>
    <r>
      <rPr>
        <b/>
        <sz val="18"/>
        <color theme="1"/>
        <rFont val="Garamond"/>
        <family val="1"/>
      </rPr>
      <t xml:space="preserve">□  </t>
    </r>
    <r>
      <rPr>
        <b/>
        <sz val="11"/>
        <color theme="1"/>
        <rFont val="Calibri"/>
        <family val="2"/>
      </rPr>
      <t xml:space="preserve">TRAP RESET    @ </t>
    </r>
    <r>
      <rPr>
        <b/>
        <u/>
        <sz val="11"/>
        <color theme="1"/>
        <rFont val="Calibri"/>
        <family val="2"/>
      </rPr>
      <t>_____:_____</t>
    </r>
    <r>
      <rPr>
        <b/>
        <sz val="11"/>
        <color theme="1"/>
        <rFont val="Calibri"/>
        <family val="2"/>
      </rPr>
      <t>AM / PM</t>
    </r>
  </si>
  <si>
    <t>Corrected Date: _____/______/_____ Initials: _______</t>
  </si>
  <si>
    <t>SPECIES</t>
  </si>
  <si>
    <t>FL (mm)</t>
  </si>
  <si>
    <t>WT  (g)</t>
  </si>
  <si>
    <t>PIT # (3DD.)</t>
  </si>
  <si>
    <t>TEXT COLUMN</t>
  </si>
  <si>
    <t>CONDITIONAL</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</si>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</sst>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1"/>
      <color theme="1"/>
      <name val="Calibri"/>
      <family val="2"/>
      <scheme val="minor"/>
    </font>
    <font>
      <sz val="11"/>
      <color theme="1"/>
      <name val="Calibri"/>
      <scheme val="minor"/>
    </font>
    <font>
      <sz val="11"/>
      <color rgb="FFFF0000"/>
      <name val="Calibri"/>
      <family val="2"/>
      <scheme val="minor"/>
    </font>
    <font>
      <b/>
      <sz val="11"/>
      <color theme="1"/>
      <name val="Calibri"/>
      <family val="2"/>
      <scheme val="minor"/>
    </font>
    <font>
      <b/>
      <sz val="11"/>
      <color rgb="FF333366"/>
      <name val="Arial"/>
      <family val="2"/>
    </font>
    <font>
      <b/>
      <sz val="16"/>
      <color theme="1"/>
      <name val="Calibri"/>
      <family val="2"/>
    </font>
    <font>
      <sz val="12"/>
      <color theme="1"/>
      <name val="Calibri"/>
      <family val="2"/>
    </font>
    <font>
      <b/>
      <sz val="11"/>
      <color theme="1"/>
      <name val="Calibri"/>
      <family val="2"/>
    </font>
    <font>
      <b/>
      <sz val="12"/>
      <color theme="1"/>
      <name val="Calibri"/>
      <family val="2"/>
    </font>
    <font>
      <sz val="20"/>
      <color theme="1"/>
      <name val="Calibri"/>
      <family val="2"/>
    </font>
    <font>
      <b/>
      <sz val="20"/>
      <color theme="1"/>
      <name val="Calibri"/>
      <family val="2"/>
    </font>
    <font>
      <sz val="12"/>
      <color theme="1"/>
      <name val="Times New Roman"/>
      <family val="1"/>
    </font>
    <font>
      <b/>
      <sz val="10"/>
      <color theme="1"/>
      <name val="Calibri"/>
      <family val="2"/>
    </font>
    <font>
      <b/>
      <i/>
      <u/>
      <sz val="10"/>
      <color rgb="FF000000"/>
      <name val="Calibri"/>
      <family val="2"/>
    </font>
    <font>
      <b/>
      <sz val="11"/>
      <color rgb="FF000000"/>
      <name val="Calibri"/>
      <family val="2"/>
    </font>
    <font>
      <sz val="11"/>
      <color theme="1"/>
      <name val="Calibri"/>
      <family val="2"/>
    </font>
    <font>
      <sz val="9"/>
      <color theme="1"/>
      <name val="Calibri"/>
      <family val="2"/>
      <scheme val="minor"/>
    </font>
    <font>
      <b/>
      <i/>
      <sz val="12"/>
      <color theme="1"/>
      <name val="Calibri"/>
      <family val="2"/>
    </font>
    <font>
      <sz val="12"/>
      <color theme="1"/>
      <name val="Calibri"/>
      <family val="2"/>
      <scheme val="minor"/>
    </font>
    <font>
      <b/>
      <sz val="12"/>
      <color theme="1"/>
      <name val="Calibri"/>
      <family val="2"/>
      <scheme val="minor"/>
    </font>
    <font>
      <b/>
      <sz val="18"/>
      <color theme="1"/>
      <name val="Garamond"/>
      <family val="1"/>
    </font>
    <font>
      <b/>
      <sz val="11"/>
      <color theme="1"/>
      <name val="Garamond"/>
      <family val="1"/>
    </font>
    <font>
      <b/>
      <u/>
      <sz val="11"/>
      <color theme="1"/>
      <name val="Calibri"/>
      <family val="2"/>
    </font>
    <font>
      <sz val="12"/>
      <color theme="0" tint="-0.34998626667073579"/>
      <name val="Calibri"/>
      <family val="2"/>
    </font>
    <font>
      <u/>
      <sz val="11"/>
      <color theme="1"/>
      <name val="Calibri"/>
      <family val="2"/>
      <scheme val="minor"/>
    </font>
    <font>
      <sz val="10"/>
      <name val="Arial"/>
      <family val="2"/>
    </font>
    <font>
      <b/>
      <sz val="8"/>
      <color rgb="FF453E35"/>
      <name val="Arial"/>
      <family val="2"/>
    </font>
    <font>
      <sz val="11"/>
      <name val="Calibri"/>
      <family val="2"/>
      <scheme val="minor"/>
    </font>
    <font>
      <i/>
      <sz val="11"/>
      <color theme="1"/>
      <name val="Calibri"/>
      <family val="2"/>
      <scheme val="minor"/>
    </font>
    <font>
      <i/>
      <sz val="8"/>
      <color rgb="FF453E35"/>
      <name val="Arial"/>
      <family val="2"/>
    </font>
    <font>
      <sz val="11"/>
      <color rgb="FFFF0000"/>
      <name val="Calibri"/>
      <scheme val="minor"/>
    </font>
    <font>
      <b/>
      <sz val="11"/>
      <color theme="1"/>
      <name val="Calibri"/>
    </font>
    <font>
      <b/>
      <sz val="8"/>
      <color rgb="FF453E35"/>
      <name val="Calibri"/>
    </font>
    <font>
      <b/>
      <i/>
      <sz val="8"/>
      <color rgb="FF453E35"/>
      <name val="Calibri"/>
    </font>
    <font>
      <i/>
      <sz val="8"/>
      <color rgb="FF453E35"/>
      <name val="Calibri"/>
    </font>
    <font>
      <sz val="11"/>
      <color theme="1"/>
      <name val="Calibri"/>
    </font>
    <font>
      <b/>
      <sz val="11"/>
      <color rgb="FF000000"/>
      <name val="Calibri"/>
    </font>
    <font>
      <b/>
      <sz val="11"/>
      <color rgb="FF000000"/>
      <name val="Calibri"/>
      <family val="2"/>
      <scheme val="minor"/>
    </font>
    <font>
      <sz val="8"/>
      <color rgb="FF000000"/>
      <name val="Cambria"/>
    </font>
    <font>
      <sz val="12"/>
      <color rgb="FF000000"/>
      <name val="Calibri"/>
      <family val="2"/>
    </font>
    <font>
      <b/>
      <sz val="7"/>
      <color rgb="FF453E35"/>
      <name val="Arial"/>
      <family val="2"/>
    </font>
    <font>
      <sz val="11"/>
      <color rgb="FF000000"/>
      <name val="Calibri"/>
      <family val="2"/>
    </font>
    <font>
      <i/>
      <sz val="11"/>
      <color rgb="FF222222"/>
      <name val="Arial"/>
      <family val="2"/>
    </font>
    <font>
      <b/>
      <i/>
      <sz val="11"/>
      <color rgb="FF000000"/>
      <name val="Arial"/>
      <family val="2"/>
    </font>
    <font>
      <b/>
      <i/>
      <sz val="10"/>
      <color rgb="FF453E35"/>
      <name val="Arial"/>
      <family val="2"/>
    </font>
  </fonts>
  <fills count="30">
    <fill>
      <patternFill patternType="none"/>
    </fill>
    <fill>
      <patternFill patternType="gray125"/>
    </fill>
    <fill>
      <patternFill patternType="solid">
        <fgColor rgb="FFFFFFFF"/>
        <bgColor indexed="64"/>
      </patternFill>
    </fill>
    <fill>
      <patternFill patternType="lightHorizontal">
        <bgColor theme="0"/>
      </patternFill>
    </fill>
    <fill>
      <patternFill patternType="lightHorizontal"/>
    </fill>
    <fill>
      <patternFill patternType="solid">
        <fgColor theme="0"/>
        <bgColor indexed="64"/>
      </patternFill>
    </fill>
    <fill>
      <patternFill patternType="solid">
        <fgColor theme="8" tint="0.79998168889431442"/>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1"/>
        <bgColor indexed="64"/>
      </patternFill>
    </fill>
    <fill>
      <patternFill patternType="solid">
        <fgColor theme="2" tint="-9.9978637043366805E-2"/>
        <bgColor indexed="64"/>
      </patternFill>
    </fill>
    <fill>
      <patternFill patternType="solid">
        <fgColor rgb="FFFFFFFF"/>
        <bgColor rgb="FF000000"/>
      </patternFill>
    </fill>
    <fill>
      <patternFill patternType="solid">
        <fgColor rgb="FFF2F2F2"/>
        <bgColor indexed="64"/>
      </patternFill>
    </fill>
    <fill>
      <patternFill patternType="solid">
        <fgColor theme="7" tint="0.39997558519241921"/>
        <bgColor indexed="64"/>
      </patternFill>
    </fill>
    <fill>
      <patternFill patternType="solid">
        <fgColor rgb="FFFFF2CC"/>
        <bgColor indexed="64"/>
      </patternFill>
    </fill>
    <fill>
      <patternFill patternType="solid">
        <fgColor rgb="FFB4C6E7"/>
        <bgColor indexed="64"/>
      </patternFill>
    </fill>
    <fill>
      <patternFill patternType="solid">
        <fgColor rgb="FFFFE699"/>
        <bgColor indexed="64"/>
      </patternFill>
    </fill>
    <fill>
      <patternFill patternType="solid">
        <fgColor rgb="FF000000"/>
        <bgColor indexed="64"/>
      </patternFill>
    </fill>
    <fill>
      <patternFill patternType="solid">
        <fgColor rgb="FF4472C4"/>
        <bgColor indexed="64"/>
      </patternFill>
    </fill>
    <fill>
      <patternFill patternType="solid">
        <fgColor rgb="FFFFC000"/>
        <bgColor indexed="64"/>
      </patternFill>
    </fill>
    <fill>
      <patternFill patternType="solid">
        <fgColor rgb="FFFFFF00"/>
        <bgColor rgb="FF000000"/>
      </patternFill>
    </fill>
    <fill>
      <patternFill patternType="solid">
        <fgColor rgb="FFFFFF00"/>
        <bgColor indexed="64"/>
      </patternFill>
    </fill>
    <fill>
      <patternFill patternType="solid">
        <fgColor rgb="FFD9D9D9"/>
        <bgColor rgb="FF000000"/>
      </patternFill>
    </fill>
    <fill>
      <patternFill patternType="solid">
        <fgColor rgb="FFFFC000"/>
        <bgColor rgb="FF000000"/>
      </patternFill>
    </fill>
    <fill>
      <patternFill patternType="solid">
        <fgColor theme="9" tint="-0.249977111117893"/>
        <bgColor rgb="FF000000"/>
      </patternFill>
    </fill>
    <fill>
      <patternFill patternType="solid">
        <fgColor theme="9" tint="-0.249977111117893"/>
        <bgColor indexed="64"/>
      </patternFill>
    </fill>
    <fill>
      <patternFill patternType="solid">
        <fgColor rgb="FF000000"/>
        <bgColor rgb="FF000000"/>
      </patternFill>
    </fill>
    <fill>
      <patternFill patternType="solid">
        <fgColor rgb="FFFFD966"/>
        <bgColor rgb="FF000000"/>
      </patternFill>
    </fill>
    <fill>
      <patternFill patternType="solid">
        <fgColor rgb="FF9BC2E6"/>
        <bgColor indexed="64"/>
      </patternFill>
    </fill>
  </fills>
  <borders count="43">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diagonalUp="1">
      <left/>
      <right style="medium">
        <color indexed="64"/>
      </right>
      <top style="thin">
        <color indexed="64"/>
      </top>
      <bottom style="medium">
        <color indexed="64"/>
      </bottom>
      <diagonal style="medium">
        <color indexed="64"/>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bottom style="thin">
        <color indexed="64"/>
      </bottom>
      <diagonal/>
    </border>
  </borders>
  <cellStyleXfs count="2">
    <xf numFmtId="0" fontId="0" fillId="0" borderId="0"/>
    <xf numFmtId="0" fontId="25" fillId="0" borderId="0"/>
  </cellStyleXfs>
  <cellXfs count="210">
    <xf numFmtId="0" fontId="0" fillId="0" borderId="0" xfId="0"/>
    <xf numFmtId="0" fontId="0" fillId="0" borderId="0" xfId="0" applyAlignment="1">
      <alignment wrapText="1"/>
    </xf>
    <xf numFmtId="0" fontId="2" fillId="0" borderId="0" xfId="0" applyFont="1" applyAlignment="1">
      <alignment wrapText="1"/>
    </xf>
    <xf numFmtId="22" fontId="0" fillId="0" borderId="0" xfId="0" applyNumberFormat="1"/>
    <xf numFmtId="0" fontId="0" fillId="0" borderId="0" xfId="0" applyFill="1"/>
    <xf numFmtId="0" fontId="5" fillId="0" borderId="0" xfId="0" applyFont="1" applyFill="1" applyAlignment="1">
      <alignment horizontal="right"/>
    </xf>
    <xf numFmtId="0" fontId="6" fillId="0" borderId="0" xfId="0" applyFont="1" applyFill="1" applyAlignment="1">
      <alignment horizontal="right"/>
    </xf>
    <xf numFmtId="0" fontId="0" fillId="0" borderId="0" xfId="0" applyFont="1" applyFill="1" applyAlignment="1">
      <alignment horizontal="left"/>
    </xf>
    <xf numFmtId="0" fontId="8" fillId="0" borderId="0" xfId="0" applyFont="1" applyFill="1" applyBorder="1" applyAlignment="1">
      <alignment horizontal="center" wrapText="1"/>
    </xf>
    <xf numFmtId="0" fontId="9" fillId="0" borderId="0" xfId="0" applyFont="1" applyFill="1" applyBorder="1" applyAlignment="1">
      <alignment horizontal="center" wrapText="1"/>
    </xf>
    <xf numFmtId="0" fontId="10" fillId="0" borderId="0" xfId="0" applyFont="1" applyFill="1" applyBorder="1" applyAlignment="1">
      <alignment horizontal="center" wrapText="1"/>
    </xf>
    <xf numFmtId="0" fontId="6" fillId="0" borderId="0" xfId="0" applyFont="1" applyFill="1" applyBorder="1" applyAlignment="1">
      <alignment horizontal="center" wrapText="1"/>
    </xf>
    <xf numFmtId="0" fontId="0" fillId="0" borderId="0" xfId="0" applyFill="1" applyBorder="1"/>
    <xf numFmtId="0" fontId="11" fillId="0" borderId="0" xfId="0" applyFont="1" applyFill="1" applyAlignment="1">
      <alignment horizontal="center" vertical="center" wrapText="1"/>
    </xf>
    <xf numFmtId="0" fontId="12" fillId="0" borderId="12" xfId="0" applyFont="1" applyFill="1" applyBorder="1" applyAlignment="1">
      <alignment horizontal="center" vertical="center" wrapText="1"/>
    </xf>
    <xf numFmtId="0" fontId="0" fillId="0" borderId="0" xfId="0" applyFill="1" applyAlignment="1">
      <alignment horizontal="center" vertical="center"/>
    </xf>
    <xf numFmtId="0" fontId="8" fillId="0" borderId="13" xfId="0" applyFont="1" applyFill="1" applyBorder="1" applyAlignment="1">
      <alignment horizontal="center" wrapText="1"/>
    </xf>
    <xf numFmtId="0" fontId="7" fillId="0" borderId="16" xfId="0" applyFont="1" applyFill="1" applyBorder="1" applyAlignment="1">
      <alignment horizontal="center" vertical="center" wrapText="1"/>
    </xf>
    <xf numFmtId="0" fontId="13" fillId="0" borderId="6" xfId="0" applyFont="1" applyFill="1" applyBorder="1" applyAlignment="1">
      <alignment horizontal="center" vertical="center"/>
    </xf>
    <xf numFmtId="0" fontId="0" fillId="0" borderId="20" xfId="0" applyFill="1" applyBorder="1"/>
    <xf numFmtId="0" fontId="14" fillId="0" borderId="8" xfId="0" applyFont="1" applyFill="1" applyBorder="1" applyAlignment="1">
      <alignment horizontal="center" wrapText="1"/>
    </xf>
    <xf numFmtId="0" fontId="0" fillId="0" borderId="21" xfId="0" applyFill="1" applyBorder="1"/>
    <xf numFmtId="0" fontId="0" fillId="0" borderId="24" xfId="0" applyFill="1" applyBorder="1"/>
    <xf numFmtId="0" fontId="13" fillId="0" borderId="0" xfId="0" applyFont="1" applyFill="1" applyBorder="1" applyAlignment="1">
      <alignment horizontal="center"/>
    </xf>
    <xf numFmtId="0" fontId="14" fillId="0" borderId="0" xfId="0" applyFont="1" applyFill="1" applyBorder="1" applyAlignment="1">
      <alignment horizontal="center" wrapText="1"/>
    </xf>
    <xf numFmtId="0" fontId="14" fillId="0" borderId="25" xfId="0" applyFont="1" applyFill="1" applyBorder="1" applyAlignment="1">
      <alignment horizontal="left"/>
    </xf>
    <xf numFmtId="0" fontId="0" fillId="0" borderId="26" xfId="0" applyFill="1" applyBorder="1"/>
    <xf numFmtId="0" fontId="14" fillId="0" borderId="26" xfId="0" applyFont="1" applyFill="1" applyBorder="1" applyAlignment="1">
      <alignment horizontal="center" wrapText="1"/>
    </xf>
    <xf numFmtId="0" fontId="0" fillId="0" borderId="5" xfId="0" applyFill="1" applyBorder="1"/>
    <xf numFmtId="0" fontId="15" fillId="0" borderId="27" xfId="0" applyFont="1" applyFill="1" applyBorder="1" applyAlignment="1">
      <alignment horizontal="left" vertical="center"/>
    </xf>
    <xf numFmtId="0" fontId="0" fillId="0" borderId="28" xfId="0" applyFont="1" applyFill="1" applyBorder="1" applyAlignment="1">
      <alignment horizontal="left"/>
    </xf>
    <xf numFmtId="0" fontId="15" fillId="0" borderId="29" xfId="0" applyFont="1" applyFill="1" applyBorder="1" applyAlignment="1">
      <alignment horizontal="left" vertical="center"/>
    </xf>
    <xf numFmtId="0" fontId="0" fillId="0" borderId="30" xfId="0" applyFont="1" applyFill="1" applyBorder="1" applyAlignment="1"/>
    <xf numFmtId="0" fontId="0" fillId="0" borderId="30" xfId="0" applyFont="1" applyFill="1" applyBorder="1"/>
    <xf numFmtId="0" fontId="0" fillId="0" borderId="31" xfId="0" applyFont="1" applyFill="1" applyBorder="1"/>
    <xf numFmtId="0" fontId="0" fillId="0" borderId="0" xfId="0" applyFont="1" applyFill="1"/>
    <xf numFmtId="0" fontId="0" fillId="0" borderId="32" xfId="0" applyBorder="1" applyAlignment="1">
      <alignment horizontal="left" vertical="center"/>
    </xf>
    <xf numFmtId="0" fontId="0" fillId="0" borderId="33" xfId="0" applyFont="1" applyFill="1" applyBorder="1" applyAlignment="1">
      <alignment horizontal="left"/>
    </xf>
    <xf numFmtId="0" fontId="0" fillId="0" borderId="9" xfId="0" applyBorder="1" applyAlignment="1">
      <alignment horizontal="left" vertical="center"/>
    </xf>
    <xf numFmtId="0" fontId="0" fillId="0" borderId="33" xfId="0" applyBorder="1" applyAlignment="1">
      <alignment horizontal="left"/>
    </xf>
    <xf numFmtId="0" fontId="0" fillId="0" borderId="9" xfId="0" applyBorder="1" applyAlignment="1">
      <alignment horizontal="left" vertical="top"/>
    </xf>
    <xf numFmtId="0" fontId="0" fillId="0" borderId="10" xfId="0" applyFont="1" applyFill="1" applyBorder="1"/>
    <xf numFmtId="0" fontId="0" fillId="0" borderId="0" xfId="0" applyBorder="1" applyAlignment="1">
      <alignment horizontal="center" vertical="center"/>
    </xf>
    <xf numFmtId="0" fontId="0" fillId="0" borderId="0" xfId="0" applyFont="1" applyFill="1" applyBorder="1"/>
    <xf numFmtId="0" fontId="16" fillId="0" borderId="0" xfId="0" applyFont="1" applyBorder="1" applyAlignment="1">
      <alignment horizontal="distributed" vertical="center"/>
    </xf>
    <xf numFmtId="0" fontId="6" fillId="0" borderId="0" xfId="0" applyFont="1" applyFill="1"/>
    <xf numFmtId="0" fontId="17" fillId="0" borderId="34" xfId="0" applyFont="1" applyFill="1" applyBorder="1"/>
    <xf numFmtId="0" fontId="0" fillId="0" borderId="34" xfId="0" applyFill="1" applyBorder="1"/>
    <xf numFmtId="0" fontId="6" fillId="0" borderId="34" xfId="0" applyFont="1" applyFill="1" applyBorder="1"/>
    <xf numFmtId="0" fontId="15" fillId="0" borderId="0" xfId="0" applyFont="1" applyFill="1"/>
    <xf numFmtId="0" fontId="18" fillId="0" borderId="0" xfId="0" applyFont="1" applyFill="1" applyBorder="1"/>
    <xf numFmtId="0" fontId="3" fillId="0" borderId="0" xfId="0" applyFont="1" applyFill="1"/>
    <xf numFmtId="0" fontId="3" fillId="0" borderId="0" xfId="0" applyFont="1" applyFill="1" applyBorder="1"/>
    <xf numFmtId="0" fontId="19" fillId="0" borderId="0" xfId="0" applyFont="1" applyFill="1" applyBorder="1"/>
    <xf numFmtId="0" fontId="18" fillId="0" borderId="0" xfId="0" applyFont="1" applyFill="1"/>
    <xf numFmtId="0" fontId="7" fillId="0" borderId="0" xfId="0" applyFont="1" applyFill="1" applyAlignment="1">
      <alignment horizontal="right"/>
    </xf>
    <xf numFmtId="0" fontId="20" fillId="0" borderId="0" xfId="0" applyFont="1" applyFill="1"/>
    <xf numFmtId="0" fontId="8" fillId="0" borderId="0" xfId="0" applyFont="1" applyFill="1"/>
    <xf numFmtId="0" fontId="0" fillId="0" borderId="0" xfId="0" applyFill="1" applyAlignment="1">
      <alignment horizontal="left" vertical="center"/>
    </xf>
    <xf numFmtId="0" fontId="23" fillId="0" borderId="35" xfId="0" applyFont="1" applyFill="1" applyBorder="1" applyAlignment="1">
      <alignment horizontal="left" vertical="top" wrapText="1"/>
    </xf>
    <xf numFmtId="0" fontId="8" fillId="0" borderId="35" xfId="0" applyFont="1" applyFill="1" applyBorder="1" applyAlignment="1">
      <alignment vertical="top" wrapText="1"/>
    </xf>
    <xf numFmtId="0" fontId="23" fillId="0" borderId="36" xfId="0" applyFont="1" applyFill="1" applyBorder="1" applyAlignment="1">
      <alignment horizontal="left" vertical="top" wrapText="1"/>
    </xf>
    <xf numFmtId="0" fontId="8" fillId="0" borderId="36" xfId="0" applyFont="1" applyFill="1" applyBorder="1" applyAlignment="1">
      <alignment vertical="top" wrapText="1"/>
    </xf>
    <xf numFmtId="0" fontId="0" fillId="0" borderId="36" xfId="0" applyFill="1" applyBorder="1"/>
    <xf numFmtId="0" fontId="4" fillId="2" borderId="17" xfId="0" applyFont="1" applyFill="1" applyBorder="1" applyAlignment="1">
      <alignment horizontal="center" vertical="center" wrapText="1"/>
    </xf>
    <xf numFmtId="0" fontId="0" fillId="10" borderId="0" xfId="0" applyFill="1" applyBorder="1"/>
    <xf numFmtId="0" fontId="0" fillId="11" borderId="17" xfId="0" applyFill="1" applyBorder="1"/>
    <xf numFmtId="0" fontId="3" fillId="0" borderId="0" xfId="0" applyFont="1"/>
    <xf numFmtId="0" fontId="0" fillId="2" borderId="17" xfId="0" applyFill="1" applyBorder="1" applyAlignment="1">
      <alignment wrapText="1"/>
    </xf>
    <xf numFmtId="0" fontId="2" fillId="2" borderId="17" xfId="0" applyFont="1" applyFill="1" applyBorder="1" applyAlignment="1">
      <alignment wrapText="1"/>
    </xf>
    <xf numFmtId="0" fontId="0" fillId="2" borderId="17" xfId="0" applyFill="1" applyBorder="1"/>
    <xf numFmtId="0" fontId="0" fillId="2" borderId="0" xfId="0" applyFill="1" applyBorder="1"/>
    <xf numFmtId="0" fontId="3" fillId="13" borderId="38" xfId="0" applyFont="1" applyFill="1" applyBorder="1" applyAlignment="1">
      <alignment wrapText="1"/>
    </xf>
    <xf numFmtId="0" fontId="26" fillId="12" borderId="23" xfId="0" applyFont="1" applyFill="1" applyBorder="1" applyAlignment="1">
      <alignment wrapText="1"/>
    </xf>
    <xf numFmtId="0" fontId="0" fillId="2" borderId="17" xfId="0" quotePrefix="1" applyFill="1" applyBorder="1" applyAlignment="1">
      <alignment wrapText="1"/>
    </xf>
    <xf numFmtId="0" fontId="0" fillId="2" borderId="17" xfId="0" quotePrefix="1" applyFill="1" applyBorder="1"/>
    <xf numFmtId="0" fontId="27" fillId="2" borderId="17" xfId="0" applyFont="1" applyFill="1" applyBorder="1" applyAlignment="1">
      <alignment wrapText="1"/>
    </xf>
    <xf numFmtId="0" fontId="28" fillId="2" borderId="17" xfId="0" applyFont="1" applyFill="1" applyBorder="1" applyAlignment="1">
      <alignment wrapText="1"/>
    </xf>
    <xf numFmtId="0" fontId="28" fillId="2" borderId="17" xfId="0" quotePrefix="1" applyFont="1" applyFill="1" applyBorder="1" applyAlignment="1">
      <alignment wrapText="1"/>
    </xf>
    <xf numFmtId="0" fontId="28" fillId="2" borderId="17" xfId="0" applyFont="1" applyFill="1" applyBorder="1"/>
    <xf numFmtId="0" fontId="0" fillId="2" borderId="17" xfId="0" applyFont="1" applyFill="1" applyBorder="1" applyAlignment="1">
      <alignment wrapText="1"/>
    </xf>
    <xf numFmtId="0" fontId="0" fillId="2" borderId="17" xfId="0" applyFill="1" applyBorder="1" applyAlignment="1">
      <alignment vertical="top" wrapText="1"/>
    </xf>
    <xf numFmtId="0" fontId="0" fillId="2" borderId="17" xfId="0" applyFill="1" applyBorder="1" applyAlignment="1">
      <alignment horizontal="left" vertical="top" wrapText="1"/>
    </xf>
    <xf numFmtId="0" fontId="29" fillId="12" borderId="23" xfId="0" applyFont="1" applyFill="1" applyBorder="1" applyAlignment="1">
      <alignment wrapText="1"/>
    </xf>
    <xf numFmtId="0" fontId="0" fillId="2" borderId="37" xfId="0" applyFill="1" applyBorder="1" applyAlignment="1">
      <alignment wrapText="1"/>
    </xf>
    <xf numFmtId="0" fontId="31" fillId="18" borderId="38" xfId="0" applyFont="1" applyFill="1" applyBorder="1" applyAlignment="1">
      <alignment vertical="center"/>
    </xf>
    <xf numFmtId="0" fontId="31" fillId="0" borderId="38" xfId="0" applyFont="1" applyBorder="1" applyAlignment="1">
      <alignment vertical="center"/>
    </xf>
    <xf numFmtId="0" fontId="31" fillId="0" borderId="38" xfId="0" applyFont="1" applyBorder="1" applyAlignment="1">
      <alignment wrapText="1"/>
    </xf>
    <xf numFmtId="0" fontId="31" fillId="13" borderId="38" xfId="0" applyFont="1" applyFill="1" applyBorder="1" applyAlignment="1">
      <alignment wrapText="1"/>
    </xf>
    <xf numFmtId="0" fontId="32" fillId="12" borderId="38" xfId="0" applyFont="1" applyFill="1" applyBorder="1" applyAlignment="1">
      <alignment wrapText="1"/>
    </xf>
    <xf numFmtId="0" fontId="33" fillId="12" borderId="38" xfId="0" applyFont="1" applyFill="1" applyBorder="1" applyAlignment="1">
      <alignment wrapText="1"/>
    </xf>
    <xf numFmtId="0" fontId="31" fillId="10" borderId="38" xfId="0" applyFont="1" applyFill="1" applyBorder="1" applyAlignment="1">
      <alignment wrapText="1"/>
    </xf>
    <xf numFmtId="0" fontId="34" fillId="12" borderId="38" xfId="0" applyFont="1" applyFill="1" applyBorder="1" applyAlignment="1">
      <alignment wrapText="1"/>
    </xf>
    <xf numFmtId="0" fontId="35" fillId="2" borderId="38" xfId="0" applyFont="1" applyFill="1" applyBorder="1" applyAlignment="1">
      <alignment wrapText="1"/>
    </xf>
    <xf numFmtId="0" fontId="35" fillId="2" borderId="38" xfId="0" applyFont="1" applyFill="1" applyBorder="1"/>
    <xf numFmtId="0" fontId="35" fillId="10" borderId="38" xfId="0" applyFont="1" applyFill="1" applyBorder="1"/>
    <xf numFmtId="0" fontId="35" fillId="0" borderId="38" xfId="0" applyFont="1" applyBorder="1" applyAlignment="1">
      <alignment wrapText="1"/>
    </xf>
    <xf numFmtId="0" fontId="35" fillId="0" borderId="38" xfId="0" applyFont="1" applyBorder="1"/>
    <xf numFmtId="0" fontId="36" fillId="13" borderId="38" xfId="0" applyFont="1" applyFill="1" applyBorder="1" applyAlignment="1">
      <alignment wrapText="1"/>
    </xf>
    <xf numFmtId="0" fontId="32" fillId="12" borderId="38" xfId="0" applyFont="1" applyFill="1" applyBorder="1" applyAlignment="1">
      <alignment vertical="top" wrapText="1"/>
    </xf>
    <xf numFmtId="0" fontId="35" fillId="15" borderId="38" xfId="0" applyFont="1" applyFill="1" applyBorder="1" applyAlignment="1">
      <alignment wrapText="1"/>
    </xf>
    <xf numFmtId="0" fontId="31" fillId="20" borderId="38" xfId="0" applyFont="1" applyFill="1" applyBorder="1" applyAlignment="1">
      <alignment wrapText="1"/>
    </xf>
    <xf numFmtId="0" fontId="37" fillId="21" borderId="17" xfId="0" applyFont="1" applyFill="1" applyBorder="1" applyAlignment="1">
      <alignment wrapText="1"/>
    </xf>
    <xf numFmtId="0" fontId="37" fillId="23" borderId="17" xfId="0" applyFont="1" applyFill="1" applyBorder="1" applyAlignment="1">
      <alignment vertical="center" wrapText="1"/>
    </xf>
    <xf numFmtId="0" fontId="26" fillId="12" borderId="17" xfId="0" applyFont="1" applyFill="1" applyBorder="1" applyAlignment="1">
      <alignment vertical="center" wrapText="1"/>
    </xf>
    <xf numFmtId="0" fontId="3" fillId="13" borderId="41" xfId="0" applyFont="1" applyFill="1" applyBorder="1" applyAlignment="1">
      <alignment wrapText="1"/>
    </xf>
    <xf numFmtId="0" fontId="26" fillId="12" borderId="42" xfId="0" applyFont="1" applyFill="1" applyBorder="1" applyAlignment="1">
      <alignment wrapText="1"/>
    </xf>
    <xf numFmtId="0" fontId="29" fillId="12" borderId="42" xfId="0" applyFont="1" applyFill="1" applyBorder="1" applyAlignment="1">
      <alignment wrapText="1"/>
    </xf>
    <xf numFmtId="0" fontId="0" fillId="2" borderId="37" xfId="0" applyFill="1" applyBorder="1"/>
    <xf numFmtId="0" fontId="3" fillId="0" borderId="17" xfId="0" applyFont="1" applyBorder="1" applyAlignment="1">
      <alignment wrapText="1"/>
    </xf>
    <xf numFmtId="0" fontId="37" fillId="25" borderId="17" xfId="0" applyFont="1" applyFill="1" applyBorder="1" applyAlignment="1">
      <alignment vertical="center"/>
    </xf>
    <xf numFmtId="0" fontId="3" fillId="26" borderId="17" xfId="0" applyFont="1" applyFill="1" applyBorder="1"/>
    <xf numFmtId="0" fontId="3" fillId="0" borderId="17" xfId="0" applyFont="1" applyBorder="1"/>
    <xf numFmtId="0" fontId="3" fillId="13" borderId="17" xfId="0" applyFont="1" applyFill="1" applyBorder="1" applyAlignment="1">
      <alignment wrapText="1"/>
    </xf>
    <xf numFmtId="0" fontId="14" fillId="13" borderId="17" xfId="0" applyFont="1" applyFill="1" applyBorder="1" applyAlignment="1">
      <alignment wrapText="1"/>
    </xf>
    <xf numFmtId="0" fontId="3" fillId="22" borderId="17" xfId="0" applyFont="1" applyFill="1" applyBorder="1" applyAlignment="1">
      <alignment wrapText="1"/>
    </xf>
    <xf numFmtId="0" fontId="37" fillId="24" borderId="17" xfId="0" applyFont="1" applyFill="1" applyBorder="1" applyAlignment="1">
      <alignment wrapText="1"/>
    </xf>
    <xf numFmtId="0" fontId="37" fillId="24" borderId="17" xfId="0" applyFont="1" applyFill="1" applyBorder="1" applyAlignment="1">
      <alignment vertical="center" wrapText="1"/>
    </xf>
    <xf numFmtId="0" fontId="37" fillId="0" borderId="17" xfId="0" applyFont="1" applyBorder="1" applyAlignment="1">
      <alignment wrapText="1"/>
    </xf>
    <xf numFmtId="0" fontId="37" fillId="12" borderId="17" xfId="0" applyFont="1" applyFill="1" applyBorder="1" applyAlignment="1">
      <alignment wrapText="1"/>
    </xf>
    <xf numFmtId="0" fontId="26" fillId="12" borderId="17" xfId="0" applyFont="1" applyFill="1" applyBorder="1" applyAlignment="1">
      <alignment wrapText="1"/>
    </xf>
    <xf numFmtId="0" fontId="26" fillId="21" borderId="17" xfId="0" applyFont="1" applyFill="1" applyBorder="1" applyAlignment="1">
      <alignment wrapText="1"/>
    </xf>
    <xf numFmtId="0" fontId="26" fillId="12" borderId="17" xfId="0" applyFont="1" applyFill="1" applyBorder="1" applyAlignment="1">
      <alignment vertical="top" wrapText="1"/>
    </xf>
    <xf numFmtId="0" fontId="38" fillId="21" borderId="17" xfId="0" applyFont="1" applyFill="1" applyBorder="1" applyAlignment="1">
      <alignment vertical="center" wrapText="1"/>
    </xf>
    <xf numFmtId="0" fontId="29" fillId="12" borderId="17" xfId="0" applyFont="1" applyFill="1" applyBorder="1" applyAlignment="1">
      <alignment wrapText="1"/>
    </xf>
    <xf numFmtId="0" fontId="0" fillId="10" borderId="17" xfId="0" applyFill="1" applyBorder="1" applyAlignment="1">
      <alignment wrapText="1"/>
    </xf>
    <xf numFmtId="0" fontId="0" fillId="10" borderId="17" xfId="0" applyFill="1" applyBorder="1"/>
    <xf numFmtId="0" fontId="0" fillId="0" borderId="17" xfId="0" applyBorder="1" applyAlignment="1">
      <alignment wrapText="1"/>
    </xf>
    <xf numFmtId="0" fontId="0" fillId="0" borderId="17" xfId="0" applyBorder="1"/>
    <xf numFmtId="22" fontId="0" fillId="0" borderId="17" xfId="0" applyNumberFormat="1" applyBorder="1"/>
    <xf numFmtId="0" fontId="0" fillId="0" borderId="17" xfId="0" quotePrefix="1" applyBorder="1"/>
    <xf numFmtId="14" fontId="0" fillId="0" borderId="17" xfId="0" applyNumberFormat="1" applyBorder="1"/>
    <xf numFmtId="22" fontId="0" fillId="0" borderId="17" xfId="0" applyNumberFormat="1" applyBorder="1" applyAlignment="1">
      <alignment horizontal="right"/>
    </xf>
    <xf numFmtId="14" fontId="0" fillId="0" borderId="17" xfId="0" quotePrefix="1" applyNumberFormat="1" applyBorder="1" applyAlignment="1">
      <alignment horizontal="right"/>
    </xf>
    <xf numFmtId="0" fontId="0" fillId="0" borderId="17" xfId="0" quotePrefix="1" applyBorder="1" applyAlignment="1">
      <alignment horizontal="right"/>
    </xf>
    <xf numFmtId="0" fontId="14" fillId="12" borderId="17" xfId="0" applyFont="1" applyFill="1" applyBorder="1" applyAlignment="1">
      <alignment wrapText="1"/>
    </xf>
    <xf numFmtId="0" fontId="26" fillId="27" borderId="23" xfId="0" applyFont="1" applyFill="1" applyBorder="1" applyAlignment="1">
      <alignment wrapText="1"/>
    </xf>
    <xf numFmtId="0" fontId="39" fillId="28" borderId="17" xfId="0" applyFont="1" applyFill="1" applyBorder="1" applyAlignment="1">
      <alignment wrapText="1"/>
    </xf>
    <xf numFmtId="0" fontId="40" fillId="28" borderId="17" xfId="0" applyFont="1" applyFill="1" applyBorder="1" applyAlignment="1">
      <alignment wrapText="1"/>
    </xf>
    <xf numFmtId="0" fontId="41" fillId="28" borderId="17" xfId="0" applyFont="1" applyFill="1" applyBorder="1" applyAlignment="1">
      <alignment wrapText="1"/>
    </xf>
    <xf numFmtId="0" fontId="42" fillId="28" borderId="17" xfId="0" applyFont="1" applyFill="1" applyBorder="1" applyAlignment="1">
      <alignment wrapText="1"/>
    </xf>
    <xf numFmtId="0" fontId="43" fillId="28" borderId="17" xfId="0" applyFont="1" applyFill="1" applyBorder="1" applyAlignment="1">
      <alignment wrapText="1"/>
    </xf>
    <xf numFmtId="0" fontId="3" fillId="7" borderId="17" xfId="0" applyFont="1" applyFill="1" applyBorder="1" applyAlignment="1">
      <alignment horizontal="center"/>
    </xf>
    <xf numFmtId="0" fontId="31" fillId="7" borderId="38" xfId="0" applyFont="1" applyFill="1" applyBorder="1" applyAlignment="1">
      <alignment horizontal="center" wrapText="1"/>
    </xf>
    <xf numFmtId="0" fontId="0" fillId="0" borderId="0" xfId="0" applyBorder="1" applyAlignment="1"/>
    <xf numFmtId="0" fontId="8" fillId="0" borderId="17" xfId="0" applyFont="1" applyFill="1" applyBorder="1" applyAlignment="1">
      <alignment horizontal="left" vertical="center" wrapText="1"/>
    </xf>
    <xf numFmtId="0" fontId="0" fillId="0" borderId="10" xfId="0" applyBorder="1" applyAlignment="1"/>
    <xf numFmtId="0" fontId="0" fillId="0" borderId="11" xfId="0" applyBorder="1" applyAlignment="1"/>
    <xf numFmtId="0" fontId="26" fillId="18" borderId="17" xfId="0" applyFont="1" applyFill="1" applyBorder="1" applyAlignment="1">
      <alignment wrapText="1"/>
    </xf>
    <xf numFmtId="0" fontId="26" fillId="18" borderId="17" xfId="0" applyFont="1" applyFill="1" applyBorder="1" applyAlignment="1">
      <alignment vertical="top" wrapText="1"/>
    </xf>
    <xf numFmtId="0" fontId="38" fillId="18" borderId="17" xfId="0" applyFont="1" applyFill="1" applyBorder="1" applyAlignment="1">
      <alignment vertical="center" wrapText="1"/>
    </xf>
    <xf numFmtId="0" fontId="26" fillId="18" borderId="42" xfId="0" applyFont="1" applyFill="1" applyBorder="1" applyAlignment="1">
      <alignment wrapText="1"/>
    </xf>
    <xf numFmtId="0" fontId="26" fillId="18" borderId="23" xfId="0" applyFont="1" applyFill="1" applyBorder="1" applyAlignment="1">
      <alignment wrapText="1"/>
    </xf>
    <xf numFmtId="0" fontId="3" fillId="6" borderId="17" xfId="0" applyFont="1" applyFill="1" applyBorder="1" applyAlignment="1">
      <alignment horizontal="center"/>
    </xf>
    <xf numFmtId="0" fontId="3" fillId="7" borderId="17" xfId="0" applyFont="1" applyFill="1" applyBorder="1" applyAlignment="1">
      <alignment horizontal="center"/>
    </xf>
    <xf numFmtId="0" fontId="3" fillId="8" borderId="17" xfId="0" applyFont="1" applyFill="1" applyBorder="1" applyAlignment="1">
      <alignment horizontal="center"/>
    </xf>
    <xf numFmtId="0" fontId="3" fillId="14" borderId="17" xfId="0" applyFont="1" applyFill="1" applyBorder="1" applyAlignment="1">
      <alignment horizontal="center"/>
    </xf>
    <xf numFmtId="0" fontId="3" fillId="9" borderId="17" xfId="0" applyFont="1" applyFill="1" applyBorder="1" applyAlignment="1">
      <alignment horizontal="center"/>
    </xf>
    <xf numFmtId="0" fontId="31" fillId="14" borderId="38" xfId="0" applyFont="1" applyFill="1" applyBorder="1" applyAlignment="1">
      <alignment horizontal="center" wrapText="1"/>
    </xf>
    <xf numFmtId="0" fontId="31" fillId="9" borderId="38" xfId="0" applyFont="1" applyFill="1" applyBorder="1" applyAlignment="1">
      <alignment horizontal="center" wrapText="1"/>
    </xf>
    <xf numFmtId="0" fontId="31" fillId="6" borderId="38" xfId="0" applyFont="1" applyFill="1" applyBorder="1" applyAlignment="1">
      <alignment horizontal="center" wrapText="1"/>
    </xf>
    <xf numFmtId="0" fontId="31" fillId="16" borderId="39" xfId="0" applyFont="1" applyFill="1" applyBorder="1" applyAlignment="1">
      <alignment vertical="center"/>
    </xf>
    <xf numFmtId="0" fontId="31" fillId="16" borderId="40" xfId="0" applyFont="1" applyFill="1" applyBorder="1" applyAlignment="1">
      <alignment vertical="center"/>
    </xf>
    <xf numFmtId="0" fontId="31" fillId="16" borderId="41" xfId="0" applyFont="1" applyFill="1" applyBorder="1" applyAlignment="1">
      <alignment vertical="center"/>
    </xf>
    <xf numFmtId="0" fontId="31" fillId="19" borderId="39" xfId="0" applyFont="1" applyFill="1" applyBorder="1" applyAlignment="1">
      <alignment vertical="center" wrapText="1"/>
    </xf>
    <xf numFmtId="0" fontId="31" fillId="19" borderId="40" xfId="0" applyFont="1" applyFill="1" applyBorder="1" applyAlignment="1">
      <alignment vertical="center" wrapText="1"/>
    </xf>
    <xf numFmtId="0" fontId="31" fillId="19" borderId="41" xfId="0" applyFont="1" applyFill="1" applyBorder="1" applyAlignment="1">
      <alignment vertical="center" wrapText="1"/>
    </xf>
    <xf numFmtId="0" fontId="31" fillId="17" borderId="39" xfId="0" applyFont="1" applyFill="1" applyBorder="1" applyAlignment="1">
      <alignment vertical="center"/>
    </xf>
    <xf numFmtId="0" fontId="31" fillId="17" borderId="40" xfId="0" applyFont="1" applyFill="1" applyBorder="1" applyAlignment="1">
      <alignment vertical="center"/>
    </xf>
    <xf numFmtId="0" fontId="31" fillId="17" borderId="41" xfId="0" applyFont="1" applyFill="1" applyBorder="1" applyAlignment="1">
      <alignment vertical="center"/>
    </xf>
    <xf numFmtId="0" fontId="31" fillId="7" borderId="38" xfId="0" applyFont="1" applyFill="1" applyBorder="1" applyAlignment="1">
      <alignment horizontal="center" wrapText="1"/>
    </xf>
    <xf numFmtId="0" fontId="31" fillId="8" borderId="38" xfId="0" applyFont="1" applyFill="1" applyBorder="1" applyAlignment="1">
      <alignment horizontal="center" wrapText="1"/>
    </xf>
    <xf numFmtId="0" fontId="7" fillId="0" borderId="1" xfId="0" applyFont="1" applyFill="1" applyBorder="1" applyAlignment="1">
      <alignment horizontal="left" vertical="top" wrapText="1"/>
    </xf>
    <xf numFmtId="0" fontId="7" fillId="0" borderId="2" xfId="0" applyFont="1" applyFill="1" applyBorder="1" applyAlignment="1">
      <alignment horizontal="left" vertical="top" wrapText="1"/>
    </xf>
    <xf numFmtId="0" fontId="7" fillId="0" borderId="3" xfId="0" applyFont="1" applyFill="1" applyBorder="1" applyAlignment="1">
      <alignment horizontal="left" vertical="top" wrapText="1"/>
    </xf>
    <xf numFmtId="0" fontId="0" fillId="0" borderId="2" xfId="0" applyBorder="1" applyAlignment="1">
      <alignment horizontal="left" vertical="top" wrapText="1"/>
    </xf>
    <xf numFmtId="0" fontId="0" fillId="0" borderId="4" xfId="0" applyBorder="1" applyAlignment="1">
      <alignment horizontal="left"/>
    </xf>
    <xf numFmtId="0" fontId="0" fillId="0" borderId="5" xfId="0" applyBorder="1" applyAlignment="1">
      <alignment horizontal="left"/>
    </xf>
    <xf numFmtId="0" fontId="8" fillId="0" borderId="6" xfId="0" applyFont="1" applyFill="1" applyBorder="1" applyAlignment="1">
      <alignment horizontal="center" wrapText="1"/>
    </xf>
    <xf numFmtId="0" fontId="8" fillId="0" borderId="7" xfId="0" applyFont="1" applyFill="1" applyBorder="1" applyAlignment="1">
      <alignment horizontal="center" wrapText="1"/>
    </xf>
    <xf numFmtId="0" fontId="9" fillId="0" borderId="8" xfId="0" applyFont="1" applyFill="1" applyBorder="1" applyAlignment="1">
      <alignment horizontal="center" wrapText="1"/>
    </xf>
    <xf numFmtId="0" fontId="0" fillId="0" borderId="7" xfId="0" applyBorder="1" applyAlignment="1">
      <alignment horizontal="center" wrapText="1"/>
    </xf>
    <xf numFmtId="0" fontId="10" fillId="0" borderId="8" xfId="0" applyFont="1" applyFill="1" applyBorder="1" applyAlignment="1">
      <alignment horizontal="center" wrapText="1"/>
    </xf>
    <xf numFmtId="0" fontId="0" fillId="0" borderId="9" xfId="0" applyFill="1" applyBorder="1" applyAlignment="1"/>
    <xf numFmtId="0" fontId="0" fillId="0" borderId="10" xfId="0" applyBorder="1" applyAlignment="1"/>
    <xf numFmtId="0" fontId="0" fillId="0" borderId="11" xfId="0" applyBorder="1" applyAlignment="1"/>
    <xf numFmtId="0" fontId="0" fillId="0" borderId="14" xfId="0" applyFill="1" applyBorder="1" applyAlignment="1"/>
    <xf numFmtId="0" fontId="0" fillId="0" borderId="17" xfId="0" applyFill="1" applyBorder="1" applyAlignment="1"/>
    <xf numFmtId="0" fontId="0" fillId="0" borderId="18" xfId="0" applyFill="1" applyBorder="1" applyAlignment="1"/>
    <xf numFmtId="0" fontId="0" fillId="0" borderId="15" xfId="0" applyFill="1" applyBorder="1" applyAlignment="1"/>
    <xf numFmtId="0" fontId="0" fillId="0" borderId="19" xfId="0" applyFill="1" applyBorder="1" applyAlignment="1"/>
    <xf numFmtId="0" fontId="0" fillId="3" borderId="14" xfId="0" applyFill="1" applyBorder="1" applyAlignment="1"/>
    <xf numFmtId="0" fontId="0" fillId="3" borderId="17" xfId="0" applyFill="1" applyBorder="1" applyAlignment="1"/>
    <xf numFmtId="0" fontId="0" fillId="0" borderId="22" xfId="0" applyFill="1" applyBorder="1" applyAlignment="1"/>
    <xf numFmtId="0" fontId="0" fillId="0" borderId="23" xfId="0" applyFill="1" applyBorder="1" applyAlignment="1"/>
    <xf numFmtId="0" fontId="0" fillId="4" borderId="14" xfId="0" applyFill="1" applyBorder="1" applyAlignment="1"/>
    <xf numFmtId="0" fontId="0" fillId="4" borderId="17" xfId="0" applyFill="1" applyBorder="1" applyAlignment="1"/>
    <xf numFmtId="0" fontId="0" fillId="0" borderId="35" xfId="0" applyFill="1" applyBorder="1" applyAlignment="1"/>
    <xf numFmtId="0" fontId="0" fillId="0" borderId="35" xfId="0" applyBorder="1" applyAlignment="1"/>
    <xf numFmtId="0" fontId="0" fillId="0" borderId="36" xfId="0" applyFill="1" applyBorder="1" applyAlignment="1"/>
    <xf numFmtId="0" fontId="0" fillId="0" borderId="36" xfId="0" applyBorder="1" applyAlignment="1"/>
    <xf numFmtId="0" fontId="0" fillId="5" borderId="14" xfId="0" applyFill="1" applyBorder="1" applyAlignment="1"/>
    <xf numFmtId="0" fontId="0" fillId="5" borderId="17" xfId="0" applyFill="1" applyBorder="1" applyAlignment="1"/>
    <xf numFmtId="0" fontId="8" fillId="0" borderId="17" xfId="0" applyFont="1" applyFill="1" applyBorder="1" applyAlignment="1">
      <alignment horizontal="left" vertical="center" wrapText="1"/>
    </xf>
    <xf numFmtId="0" fontId="0" fillId="0" borderId="17" xfId="0" applyBorder="1" applyAlignment="1">
      <alignment horizontal="left" vertical="center"/>
    </xf>
    <xf numFmtId="0" fontId="0" fillId="0" borderId="0" xfId="0" applyFill="1" applyBorder="1" applyAlignment="1"/>
    <xf numFmtId="0" fontId="0" fillId="0" borderId="0" xfId="0" applyBorder="1" applyAlignment="1"/>
    <xf numFmtId="0" fontId="0" fillId="15" borderId="17" xfId="0" applyFill="1" applyBorder="1" applyAlignment="1">
      <alignment wrapText="1"/>
    </xf>
    <xf numFmtId="0" fontId="44" fillId="17" borderId="17" xfId="0" applyFont="1" applyFill="1" applyBorder="1" applyAlignment="1">
      <alignment wrapText="1"/>
    </xf>
    <xf numFmtId="0" fontId="0" fillId="29" borderId="17" xfId="0" applyFill="1" applyBorder="1" applyAlignment="1">
      <alignment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cid:image001.png@01D54137.31A6A830"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104775</xdr:colOff>
      <xdr:row>1</xdr:row>
      <xdr:rowOff>142875</xdr:rowOff>
    </xdr:from>
    <xdr:to>
      <xdr:col>14</xdr:col>
      <xdr:colOff>514350</xdr:colOff>
      <xdr:row>26</xdr:row>
      <xdr:rowOff>66675</xdr:rowOff>
    </xdr:to>
    <xdr:pic>
      <xdr:nvPicPr>
        <xdr:cNvPr id="2" name="Picture 1" descr="cid:image001.png@01D54137.31A6A830">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04775" y="333375"/>
          <a:ext cx="8943975" cy="468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27</xdr:col>
      <xdr:colOff>272999</xdr:colOff>
      <xdr:row>24</xdr:row>
      <xdr:rowOff>17318</xdr:rowOff>
    </xdr:to>
    <xdr:pic>
      <xdr:nvPicPr>
        <xdr:cNvPr id="4" name="Picture 3">
          <a:extLst>
            <a:ext uri="{FF2B5EF4-FFF2-40B4-BE49-F238E27FC236}">
              <a16:creationId xmlns:a16="http://schemas.microsoft.com/office/drawing/2014/main" id="{E89F8452-27D0-4E44-8E97-AE42537C8801}"/>
            </a:ext>
          </a:extLst>
        </xdr:cNvPr>
        <xdr:cNvPicPr>
          <a:picLocks noChangeAspect="1"/>
        </xdr:cNvPicPr>
      </xdr:nvPicPr>
      <xdr:blipFill>
        <a:blip xmlns:r="http://schemas.openxmlformats.org/officeDocument/2006/relationships" r:embed="rId1"/>
        <a:stretch>
          <a:fillRect/>
        </a:stretch>
      </xdr:blipFill>
      <xdr:spPr>
        <a:xfrm>
          <a:off x="0" y="0"/>
          <a:ext cx="16707954" cy="5957454"/>
        </a:xfrm>
        <a:prstGeom prst="rect">
          <a:avLst/>
        </a:prstGeom>
      </xdr:spPr>
    </xdr:pic>
    <xdr:clientData/>
  </xdr:twoCellAnchor>
  <xdr:twoCellAnchor editAs="oneCell">
    <xdr:from>
      <xdr:col>0</xdr:col>
      <xdr:colOff>190500</xdr:colOff>
      <xdr:row>25</xdr:row>
      <xdr:rowOff>207818</xdr:rowOff>
    </xdr:from>
    <xdr:to>
      <xdr:col>28</xdr:col>
      <xdr:colOff>347897</xdr:colOff>
      <xdr:row>39</xdr:row>
      <xdr:rowOff>138545</xdr:rowOff>
    </xdr:to>
    <xdr:pic>
      <xdr:nvPicPr>
        <xdr:cNvPr id="5" name="Picture 4">
          <a:extLst>
            <a:ext uri="{FF2B5EF4-FFF2-40B4-BE49-F238E27FC236}">
              <a16:creationId xmlns:a16="http://schemas.microsoft.com/office/drawing/2014/main" id="{63FC031A-2012-4384-9149-BA29388EDFCC}"/>
            </a:ext>
          </a:extLst>
        </xdr:cNvPr>
        <xdr:cNvPicPr>
          <a:picLocks noChangeAspect="1"/>
        </xdr:cNvPicPr>
      </xdr:nvPicPr>
      <xdr:blipFill>
        <a:blip xmlns:r="http://schemas.openxmlformats.org/officeDocument/2006/relationships" r:embed="rId2"/>
        <a:stretch>
          <a:fillRect/>
        </a:stretch>
      </xdr:blipFill>
      <xdr:spPr>
        <a:xfrm>
          <a:off x="190500" y="6390409"/>
          <a:ext cx="17198488" cy="327313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23</xdr:col>
      <xdr:colOff>323431</xdr:colOff>
      <xdr:row>29</xdr:row>
      <xdr:rowOff>103909</xdr:rowOff>
    </xdr:to>
    <xdr:pic>
      <xdr:nvPicPr>
        <xdr:cNvPr id="2" name="Picture 1">
          <a:extLst>
            <a:ext uri="{FF2B5EF4-FFF2-40B4-BE49-F238E27FC236}">
              <a16:creationId xmlns:a16="http://schemas.microsoft.com/office/drawing/2014/main" id="{AF777862-B64C-4F6C-8022-6E05598415E2}"/>
            </a:ext>
          </a:extLst>
        </xdr:cNvPr>
        <xdr:cNvPicPr>
          <a:picLocks noChangeAspect="1"/>
        </xdr:cNvPicPr>
      </xdr:nvPicPr>
      <xdr:blipFill>
        <a:blip xmlns:r="http://schemas.openxmlformats.org/officeDocument/2006/relationships" r:embed="rId1"/>
        <a:stretch>
          <a:fillRect/>
        </a:stretch>
      </xdr:blipFill>
      <xdr:spPr>
        <a:xfrm>
          <a:off x="0" y="0"/>
          <a:ext cx="14333840" cy="7204364"/>
        </a:xfrm>
        <a:prstGeom prst="rect">
          <a:avLst/>
        </a:prstGeom>
      </xdr:spPr>
    </xdr:pic>
    <xdr:clientData/>
  </xdr:twoCellAnchor>
  <xdr:twoCellAnchor editAs="oneCell">
    <xdr:from>
      <xdr:col>0</xdr:col>
      <xdr:colOff>277091</xdr:colOff>
      <xdr:row>29</xdr:row>
      <xdr:rowOff>225136</xdr:rowOff>
    </xdr:from>
    <xdr:to>
      <xdr:col>25</xdr:col>
      <xdr:colOff>415843</xdr:colOff>
      <xdr:row>50</xdr:row>
      <xdr:rowOff>0</xdr:rowOff>
    </xdr:to>
    <xdr:pic>
      <xdr:nvPicPr>
        <xdr:cNvPr id="3" name="Picture 2">
          <a:extLst>
            <a:ext uri="{FF2B5EF4-FFF2-40B4-BE49-F238E27FC236}">
              <a16:creationId xmlns:a16="http://schemas.microsoft.com/office/drawing/2014/main" id="{F4F14E93-2C74-484A-B062-DF17189A8ABD}"/>
            </a:ext>
          </a:extLst>
        </xdr:cNvPr>
        <xdr:cNvPicPr>
          <a:picLocks noChangeAspect="1"/>
        </xdr:cNvPicPr>
      </xdr:nvPicPr>
      <xdr:blipFill>
        <a:blip xmlns:r="http://schemas.openxmlformats.org/officeDocument/2006/relationships" r:embed="rId2"/>
        <a:stretch>
          <a:fillRect/>
        </a:stretch>
      </xdr:blipFill>
      <xdr:spPr>
        <a:xfrm>
          <a:off x="277091" y="7325591"/>
          <a:ext cx="15361434" cy="486640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M28"/>
  <sheetViews>
    <sheetView tabSelected="1" workbookViewId="0">
      <pane xSplit="1" ySplit="3" topLeftCell="B10" activePane="bottomRight" state="frozen"/>
      <selection pane="bottomRight" activeCell="A15" sqref="A15"/>
      <selection pane="bottomLeft" activeCell="A5" sqref="A5"/>
      <selection pane="topRight" activeCell="B1" sqref="B1"/>
    </sheetView>
  </sheetViews>
  <sheetFormatPr defaultRowHeight="14.45"/>
  <cols>
    <col min="1" max="1" width="21.5703125" style="127" customWidth="1"/>
    <col min="2" max="2" width="20.85546875" style="128" customWidth="1"/>
    <col min="3" max="3" width="20.42578125" style="128" customWidth="1"/>
    <col min="4" max="4" width="14.140625" style="128" customWidth="1"/>
    <col min="5" max="5" width="11.5703125" style="128" customWidth="1"/>
    <col min="6" max="7" width="11.42578125" style="128" customWidth="1"/>
    <col min="8" max="8" width="19.85546875" style="128" customWidth="1"/>
    <col min="9" max="9" width="14.42578125" style="128" customWidth="1"/>
    <col min="10" max="10" width="13.42578125" style="128" customWidth="1"/>
    <col min="11" max="13" width="16.7109375" style="128" customWidth="1"/>
    <col min="14" max="14" width="13.42578125" style="128" customWidth="1"/>
    <col min="15" max="15" width="21.140625" style="128" customWidth="1"/>
    <col min="16" max="17" width="17.85546875" style="128" customWidth="1"/>
    <col min="18" max="18" width="14.85546875" style="128" customWidth="1"/>
    <col min="19" max="19" width="19.28515625" style="128" customWidth="1"/>
    <col min="20" max="27" width="14.7109375" style="128" customWidth="1"/>
    <col min="28" max="30" width="21.140625" style="128" customWidth="1"/>
    <col min="31" max="31" width="17.5703125" style="128" customWidth="1"/>
    <col min="32" max="32" width="17" style="128" customWidth="1"/>
    <col min="33" max="35" width="15.5703125" style="128" customWidth="1"/>
    <col min="36" max="36" width="9.7109375" style="128" customWidth="1"/>
    <col min="37" max="37" width="10.7109375" style="128" customWidth="1"/>
    <col min="38" max="39" width="28.7109375" style="128" customWidth="1"/>
    <col min="40" max="40" width="22.28515625" style="128" customWidth="1"/>
    <col min="41" max="46" width="19.140625" style="128" customWidth="1"/>
    <col min="47" max="49" width="14" style="128" customWidth="1"/>
    <col min="50" max="51" width="12.85546875" style="128" customWidth="1"/>
    <col min="52" max="53" width="14.140625" style="128" customWidth="1"/>
    <col min="54" max="54" width="14.85546875" style="128" customWidth="1"/>
    <col min="55" max="55" width="17" style="128" customWidth="1"/>
    <col min="56" max="58" width="14.85546875" style="128" customWidth="1"/>
    <col min="59" max="59" width="10.5703125" style="128" customWidth="1"/>
    <col min="60" max="61" width="8.85546875" style="128"/>
    <col min="62" max="64" width="12.42578125" style="128" customWidth="1"/>
    <col min="65" max="66" width="10.85546875" style="128" customWidth="1"/>
    <col min="67" max="67" width="8.85546875" style="128"/>
    <col min="68" max="71" width="10" style="128" customWidth="1"/>
    <col min="72" max="73" width="13.7109375" style="128" customWidth="1"/>
    <col min="74" max="90" width="8.85546875" style="128"/>
  </cols>
  <sheetData>
    <row r="1" spans="1:91" s="67" customFormat="1">
      <c r="A1" s="109" t="s">
        <v>0</v>
      </c>
      <c r="B1" s="154" t="s">
        <v>1</v>
      </c>
      <c r="C1" s="154"/>
      <c r="D1" s="154"/>
      <c r="E1" s="154"/>
      <c r="F1" s="154"/>
      <c r="G1" s="142"/>
      <c r="H1" s="155" t="s">
        <v>2</v>
      </c>
      <c r="I1" s="155"/>
      <c r="J1" s="155"/>
      <c r="K1" s="155"/>
      <c r="L1" s="155"/>
      <c r="M1" s="155"/>
      <c r="N1" s="155"/>
      <c r="O1" s="155"/>
      <c r="P1" s="155"/>
      <c r="Q1" s="155"/>
      <c r="R1" s="155"/>
      <c r="S1" s="155"/>
      <c r="T1" s="155"/>
      <c r="U1" s="155"/>
      <c r="V1" s="155"/>
      <c r="W1" s="155"/>
      <c r="X1" s="155"/>
      <c r="Y1" s="155"/>
      <c r="Z1" s="155"/>
      <c r="AA1" s="155"/>
      <c r="AB1" s="155"/>
      <c r="AC1" s="156" t="s">
        <v>3</v>
      </c>
      <c r="AD1" s="156"/>
      <c r="AE1" s="156"/>
      <c r="AF1" s="156"/>
      <c r="AG1" s="156"/>
      <c r="AH1" s="156"/>
      <c r="AI1" s="156"/>
      <c r="AJ1" s="156"/>
      <c r="AK1" s="156"/>
      <c r="AL1" s="157" t="s">
        <v>4</v>
      </c>
      <c r="AM1" s="157"/>
      <c r="AN1" s="157"/>
      <c r="AO1" s="157"/>
      <c r="AP1" s="157"/>
      <c r="AQ1" s="157"/>
      <c r="AR1" s="157"/>
      <c r="AS1" s="157"/>
      <c r="AT1" s="157"/>
      <c r="AU1" s="157"/>
      <c r="AV1" s="157"/>
      <c r="AW1" s="157"/>
      <c r="AX1" s="157"/>
      <c r="AY1" s="157"/>
      <c r="AZ1" s="157"/>
      <c r="BA1" s="157"/>
      <c r="BB1" s="157"/>
      <c r="BC1" s="157"/>
      <c r="BD1" s="157"/>
      <c r="BE1" s="157"/>
      <c r="BF1" s="157"/>
      <c r="BG1" s="157"/>
      <c r="BH1" s="157"/>
      <c r="BI1" s="157"/>
      <c r="BJ1" s="153" t="s">
        <v>5</v>
      </c>
      <c r="BK1" s="153"/>
      <c r="BL1" s="153"/>
      <c r="BM1" s="153"/>
      <c r="BN1" s="153"/>
      <c r="BO1" s="153"/>
      <c r="BP1" s="153"/>
      <c r="BQ1" s="153"/>
      <c r="BR1" s="153"/>
      <c r="BS1" s="153"/>
      <c r="BT1" s="153"/>
      <c r="BU1" s="153"/>
      <c r="BV1" s="110" t="s">
        <v>6</v>
      </c>
      <c r="BW1" s="111"/>
      <c r="BX1" s="111"/>
      <c r="BY1" s="111"/>
      <c r="BZ1" s="111"/>
      <c r="CA1" s="111"/>
      <c r="CB1" s="111"/>
      <c r="CC1" s="111"/>
      <c r="CD1" s="111"/>
      <c r="CE1" s="111"/>
      <c r="CF1" s="111"/>
      <c r="CG1" s="111"/>
      <c r="CH1" s="111"/>
      <c r="CI1" s="111"/>
      <c r="CJ1" s="111"/>
      <c r="CK1" s="111"/>
      <c r="CL1" s="112"/>
    </row>
    <row r="2" spans="1:91" s="72" customFormat="1" ht="44.45" customHeight="1">
      <c r="A2" s="113" t="s">
        <v>7</v>
      </c>
      <c r="B2" s="113" t="s">
        <v>8</v>
      </c>
      <c r="C2" s="113" t="s">
        <v>9</v>
      </c>
      <c r="D2" s="113" t="s">
        <v>10</v>
      </c>
      <c r="E2" s="113" t="s">
        <v>11</v>
      </c>
      <c r="F2" s="113" t="s">
        <v>12</v>
      </c>
      <c r="G2" s="113" t="s">
        <v>13</v>
      </c>
      <c r="H2" s="113" t="s">
        <v>14</v>
      </c>
      <c r="I2" s="114" t="s">
        <v>15</v>
      </c>
      <c r="J2" s="114" t="s">
        <v>16</v>
      </c>
      <c r="K2" s="113" t="s">
        <v>17</v>
      </c>
      <c r="L2" s="113" t="s">
        <v>18</v>
      </c>
      <c r="M2" s="113" t="s">
        <v>19</v>
      </c>
      <c r="N2" s="113" t="s">
        <v>20</v>
      </c>
      <c r="O2" s="113" t="s">
        <v>21</v>
      </c>
      <c r="P2" s="113" t="s">
        <v>22</v>
      </c>
      <c r="Q2" s="115" t="s">
        <v>23</v>
      </c>
      <c r="R2" s="113" t="s">
        <v>24</v>
      </c>
      <c r="S2" s="113" t="s">
        <v>25</v>
      </c>
      <c r="T2" s="113" t="s">
        <v>26</v>
      </c>
      <c r="U2" s="113" t="s">
        <v>27</v>
      </c>
      <c r="V2" s="113" t="s">
        <v>28</v>
      </c>
      <c r="W2" s="113" t="s">
        <v>29</v>
      </c>
      <c r="X2" s="113" t="s">
        <v>30</v>
      </c>
      <c r="Y2" s="113" t="s">
        <v>31</v>
      </c>
      <c r="Z2" s="113" t="s">
        <v>32</v>
      </c>
      <c r="AA2" s="113" t="s">
        <v>33</v>
      </c>
      <c r="AB2" s="113" t="s">
        <v>34</v>
      </c>
      <c r="AC2" s="113" t="s">
        <v>35</v>
      </c>
      <c r="AD2" s="113" t="s">
        <v>36</v>
      </c>
      <c r="AE2" s="113" t="s">
        <v>37</v>
      </c>
      <c r="AF2" s="113" t="s">
        <v>38</v>
      </c>
      <c r="AG2" s="113" t="s">
        <v>39</v>
      </c>
      <c r="AH2" s="113" t="s">
        <v>40</v>
      </c>
      <c r="AI2" s="113" t="s">
        <v>41</v>
      </c>
      <c r="AJ2" s="113" t="s">
        <v>42</v>
      </c>
      <c r="AK2" s="113" t="s">
        <v>43</v>
      </c>
      <c r="AL2" s="113" t="s">
        <v>44</v>
      </c>
      <c r="AM2" s="113" t="s">
        <v>45</v>
      </c>
      <c r="AN2" s="113" t="s">
        <v>46</v>
      </c>
      <c r="AO2" s="113" t="s">
        <v>47</v>
      </c>
      <c r="AP2" s="102" t="s">
        <v>48</v>
      </c>
      <c r="AQ2" s="102" t="s">
        <v>49</v>
      </c>
      <c r="AR2" s="102" t="s">
        <v>50</v>
      </c>
      <c r="AS2" s="102" t="s">
        <v>51</v>
      </c>
      <c r="AT2" s="102" t="s">
        <v>52</v>
      </c>
      <c r="AU2" s="113" t="s">
        <v>53</v>
      </c>
      <c r="AV2" s="113" t="s">
        <v>54</v>
      </c>
      <c r="AW2" s="113" t="s">
        <v>55</v>
      </c>
      <c r="AX2" s="113" t="s">
        <v>56</v>
      </c>
      <c r="AY2" s="113" t="s">
        <v>57</v>
      </c>
      <c r="AZ2" s="113" t="s">
        <v>58</v>
      </c>
      <c r="BA2" s="113" t="s">
        <v>59</v>
      </c>
      <c r="BB2" s="113" t="s">
        <v>60</v>
      </c>
      <c r="BC2" s="113" t="s">
        <v>61</v>
      </c>
      <c r="BD2" s="113" t="s">
        <v>62</v>
      </c>
      <c r="BE2" s="113" t="s">
        <v>63</v>
      </c>
      <c r="BF2" s="113" t="s">
        <v>64</v>
      </c>
      <c r="BG2" s="113" t="s">
        <v>65</v>
      </c>
      <c r="BH2" s="113" t="s">
        <v>66</v>
      </c>
      <c r="BI2" s="113" t="s">
        <v>67</v>
      </c>
      <c r="BJ2" s="113" t="s">
        <v>68</v>
      </c>
      <c r="BK2" s="113" t="s">
        <v>37</v>
      </c>
      <c r="BL2" s="113" t="s">
        <v>69</v>
      </c>
      <c r="BM2" s="113" t="s">
        <v>70</v>
      </c>
      <c r="BN2" s="113" t="s">
        <v>71</v>
      </c>
      <c r="BO2" s="113" t="s">
        <v>72</v>
      </c>
      <c r="BP2" s="113" t="s">
        <v>73</v>
      </c>
      <c r="BQ2" s="113" t="s">
        <v>74</v>
      </c>
      <c r="BR2" s="113" t="s">
        <v>75</v>
      </c>
      <c r="BS2" s="113" t="s">
        <v>76</v>
      </c>
      <c r="BT2" s="113" t="s">
        <v>77</v>
      </c>
      <c r="BU2" s="113" t="s">
        <v>78</v>
      </c>
      <c r="BV2" s="116" t="s">
        <v>16</v>
      </c>
      <c r="BW2" s="117" t="s">
        <v>79</v>
      </c>
      <c r="BX2" s="117" t="s">
        <v>80</v>
      </c>
      <c r="BY2" s="116" t="s">
        <v>81</v>
      </c>
      <c r="BZ2" s="118" t="s">
        <v>82</v>
      </c>
      <c r="CA2" s="116" t="s">
        <v>83</v>
      </c>
      <c r="CB2" s="116" t="s">
        <v>84</v>
      </c>
      <c r="CC2" s="118" t="s">
        <v>85</v>
      </c>
      <c r="CD2" s="119" t="s">
        <v>86</v>
      </c>
      <c r="CE2" s="117" t="s">
        <v>87</v>
      </c>
      <c r="CF2" s="117" t="s">
        <v>88</v>
      </c>
      <c r="CG2" s="117" t="s">
        <v>89</v>
      </c>
      <c r="CH2" s="117" t="s">
        <v>90</v>
      </c>
      <c r="CI2" s="117" t="s">
        <v>91</v>
      </c>
      <c r="CJ2" s="117" t="s">
        <v>92</v>
      </c>
      <c r="CK2" s="103" t="s">
        <v>93</v>
      </c>
      <c r="CL2" s="113"/>
      <c r="CM2" s="105"/>
    </row>
    <row r="3" spans="1:91" s="73" customFormat="1" ht="69.75" customHeight="1">
      <c r="A3" s="120" t="s">
        <v>94</v>
      </c>
      <c r="B3" s="120" t="s">
        <v>95</v>
      </c>
      <c r="C3" s="120" t="s">
        <v>96</v>
      </c>
      <c r="D3" s="120" t="s">
        <v>97</v>
      </c>
      <c r="E3" s="120" t="s">
        <v>98</v>
      </c>
      <c r="F3" s="120" t="s">
        <v>99</v>
      </c>
      <c r="G3" s="120" t="s">
        <v>100</v>
      </c>
      <c r="H3" s="121" t="s">
        <v>101</v>
      </c>
      <c r="I3" s="120" t="s">
        <v>102</v>
      </c>
      <c r="J3" s="120" t="s">
        <v>103</v>
      </c>
      <c r="K3" s="120" t="s">
        <v>104</v>
      </c>
      <c r="L3" s="120" t="s">
        <v>105</v>
      </c>
      <c r="M3" s="120" t="s">
        <v>106</v>
      </c>
      <c r="N3" s="120" t="s">
        <v>107</v>
      </c>
      <c r="O3" s="120" t="s">
        <v>108</v>
      </c>
      <c r="P3" s="120" t="s">
        <v>109</v>
      </c>
      <c r="Q3" s="121" t="s">
        <v>110</v>
      </c>
      <c r="R3" s="120" t="s">
        <v>111</v>
      </c>
      <c r="S3" s="120" t="s">
        <v>112</v>
      </c>
      <c r="T3" s="120" t="s">
        <v>113</v>
      </c>
      <c r="U3" s="120" t="s">
        <v>114</v>
      </c>
      <c r="V3" s="120" t="s">
        <v>115</v>
      </c>
      <c r="W3" s="120"/>
      <c r="X3" s="120" t="s">
        <v>116</v>
      </c>
      <c r="Y3" s="120" t="s">
        <v>117</v>
      </c>
      <c r="Z3" s="120"/>
      <c r="AA3" s="120"/>
      <c r="AB3" s="120" t="s">
        <v>118</v>
      </c>
      <c r="AC3" s="120" t="s">
        <v>119</v>
      </c>
      <c r="AD3" s="120" t="s">
        <v>120</v>
      </c>
      <c r="AE3" s="120" t="s">
        <v>121</v>
      </c>
      <c r="AF3" s="120" t="s">
        <v>122</v>
      </c>
      <c r="AG3" s="122" t="s">
        <v>123</v>
      </c>
      <c r="AH3" s="122" t="s">
        <v>124</v>
      </c>
      <c r="AI3" s="122" t="s">
        <v>125</v>
      </c>
      <c r="AJ3" s="120"/>
      <c r="AK3" s="120"/>
      <c r="AL3" s="120" t="s">
        <v>126</v>
      </c>
      <c r="AM3" s="120" t="s">
        <v>126</v>
      </c>
      <c r="AN3" s="120"/>
      <c r="AO3" s="120" t="s">
        <v>127</v>
      </c>
      <c r="AP3" s="123" t="s">
        <v>128</v>
      </c>
      <c r="AQ3" s="123" t="s">
        <v>129</v>
      </c>
      <c r="AR3" s="123" t="s">
        <v>130</v>
      </c>
      <c r="AS3" s="123" t="s">
        <v>131</v>
      </c>
      <c r="AT3" s="121" t="s">
        <v>132</v>
      </c>
      <c r="AU3" s="120" t="s">
        <v>133</v>
      </c>
      <c r="AV3" s="120" t="s">
        <v>134</v>
      </c>
      <c r="AW3" s="120" t="s">
        <v>135</v>
      </c>
      <c r="AX3" s="122" t="s">
        <v>136</v>
      </c>
      <c r="AY3" s="120" t="s">
        <v>137</v>
      </c>
      <c r="AZ3" s="120" t="s">
        <v>138</v>
      </c>
      <c r="BA3" s="120" t="s">
        <v>139</v>
      </c>
      <c r="BB3" s="120" t="s">
        <v>140</v>
      </c>
      <c r="BC3" s="120" t="s">
        <v>141</v>
      </c>
      <c r="BD3" s="120" t="s">
        <v>142</v>
      </c>
      <c r="BE3" s="120" t="s">
        <v>143</v>
      </c>
      <c r="BF3" s="120" t="s">
        <v>144</v>
      </c>
      <c r="BG3" s="120"/>
      <c r="BH3" s="120"/>
      <c r="BI3" s="120"/>
      <c r="BJ3" s="120" t="s">
        <v>145</v>
      </c>
      <c r="BK3" s="120" t="s">
        <v>146</v>
      </c>
      <c r="BL3" s="120" t="s">
        <v>147</v>
      </c>
      <c r="BM3" s="120" t="s">
        <v>148</v>
      </c>
      <c r="BN3" s="120" t="s">
        <v>149</v>
      </c>
      <c r="BO3" s="120"/>
      <c r="BP3" s="120" t="s">
        <v>150</v>
      </c>
      <c r="BQ3" s="120"/>
      <c r="BR3" s="120" t="s">
        <v>151</v>
      </c>
      <c r="BS3" s="120" t="s">
        <v>152</v>
      </c>
      <c r="BT3" s="120" t="s">
        <v>153</v>
      </c>
      <c r="BU3" s="120" t="s">
        <v>154</v>
      </c>
      <c r="BV3" s="104" t="s">
        <v>155</v>
      </c>
      <c r="BW3" s="104" t="s">
        <v>156</v>
      </c>
      <c r="BX3" s="104" t="s">
        <v>157</v>
      </c>
      <c r="BY3" s="104" t="s">
        <v>158</v>
      </c>
      <c r="BZ3" s="104" t="s">
        <v>159</v>
      </c>
      <c r="CA3" s="104" t="s">
        <v>160</v>
      </c>
      <c r="CB3" s="104" t="s">
        <v>161</v>
      </c>
      <c r="CC3" s="104" t="s">
        <v>162</v>
      </c>
      <c r="CD3" s="104" t="s">
        <v>163</v>
      </c>
      <c r="CE3" s="104" t="s">
        <v>164</v>
      </c>
      <c r="CF3" s="104" t="s">
        <v>164</v>
      </c>
      <c r="CG3" s="104" t="s">
        <v>165</v>
      </c>
      <c r="CH3" s="104" t="s">
        <v>166</v>
      </c>
      <c r="CI3" s="104" t="s">
        <v>167</v>
      </c>
      <c r="CJ3" s="104" t="s">
        <v>167</v>
      </c>
      <c r="CK3" s="104" t="s">
        <v>168</v>
      </c>
      <c r="CL3" s="120"/>
      <c r="CM3" s="106"/>
    </row>
    <row r="4" spans="1:91" s="152" customFormat="1" ht="18.75" customHeight="1">
      <c r="A4" s="148"/>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9"/>
      <c r="AH4" s="149"/>
      <c r="AI4" s="149"/>
      <c r="AJ4" s="148"/>
      <c r="AK4" s="148"/>
      <c r="AL4" s="148"/>
      <c r="AM4" s="148"/>
      <c r="AN4" s="148"/>
      <c r="AO4" s="148"/>
      <c r="AP4" s="150" t="s">
        <v>169</v>
      </c>
      <c r="AQ4" s="150" t="s">
        <v>169</v>
      </c>
      <c r="AR4" s="150" t="s">
        <v>169</v>
      </c>
      <c r="AS4" s="150" t="s">
        <v>169</v>
      </c>
      <c r="AT4" s="150" t="s">
        <v>169</v>
      </c>
      <c r="AU4" s="148"/>
      <c r="AV4" s="148"/>
      <c r="AW4" s="148"/>
      <c r="AX4" s="149"/>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51"/>
    </row>
    <row r="5" spans="1:91" s="83" customFormat="1" ht="44.45" customHeight="1">
      <c r="A5" s="208" t="s">
        <v>170</v>
      </c>
      <c r="B5" s="124"/>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24"/>
      <c r="BF5" s="124"/>
      <c r="BG5" s="124"/>
      <c r="BH5" s="124"/>
      <c r="BI5" s="124"/>
      <c r="BJ5" s="124"/>
      <c r="BK5" s="124"/>
      <c r="BL5" s="124"/>
      <c r="BM5" s="124"/>
      <c r="BN5" s="124"/>
      <c r="BO5" s="124"/>
      <c r="BP5" s="124"/>
      <c r="BQ5" s="124"/>
      <c r="BR5" s="124"/>
      <c r="BS5" s="124"/>
      <c r="BT5" s="124"/>
      <c r="BU5" s="124"/>
      <c r="BV5" s="68"/>
      <c r="BW5" s="68"/>
      <c r="BX5" s="68"/>
      <c r="BY5" s="68"/>
      <c r="BZ5" s="68"/>
      <c r="CA5" s="68"/>
      <c r="CB5" s="68"/>
      <c r="CC5" s="68"/>
      <c r="CD5" s="68"/>
      <c r="CE5" s="68"/>
      <c r="CF5" s="68"/>
      <c r="CG5" s="68"/>
      <c r="CH5" s="68"/>
      <c r="CI5" s="68"/>
      <c r="CJ5" s="68"/>
      <c r="CK5" s="68"/>
      <c r="CL5" s="124"/>
      <c r="CM5" s="107"/>
    </row>
    <row r="6" spans="1:91" s="68" customFormat="1" ht="25.5" customHeight="1">
      <c r="A6" s="207" t="s">
        <v>171</v>
      </c>
      <c r="B6" s="68" t="s">
        <v>172</v>
      </c>
      <c r="C6" s="68" t="s">
        <v>172</v>
      </c>
      <c r="H6" s="68" t="s">
        <v>173</v>
      </c>
      <c r="I6" s="68" t="s">
        <v>174</v>
      </c>
      <c r="K6" s="68" t="s">
        <v>175</v>
      </c>
      <c r="L6" s="68" t="s">
        <v>176</v>
      </c>
      <c r="O6" s="68" t="s">
        <v>177</v>
      </c>
      <c r="S6" s="68" t="s">
        <v>178</v>
      </c>
      <c r="Y6" s="68" t="s">
        <v>179</v>
      </c>
      <c r="AJ6" s="64"/>
      <c r="AK6" s="64"/>
      <c r="AM6" s="68" t="s">
        <v>180</v>
      </c>
      <c r="AW6" s="68" t="s">
        <v>181</v>
      </c>
      <c r="AY6" s="69"/>
      <c r="AZ6" s="68" t="s">
        <v>182</v>
      </c>
      <c r="BA6" s="68" t="s">
        <v>183</v>
      </c>
      <c r="BE6" s="68" t="s">
        <v>184</v>
      </c>
      <c r="BK6" s="68" t="s">
        <v>185</v>
      </c>
      <c r="BL6" s="68" t="s">
        <v>186</v>
      </c>
      <c r="CM6" s="84"/>
    </row>
    <row r="7" spans="1:91" s="68" customFormat="1" ht="25.5" customHeight="1">
      <c r="A7" s="207" t="s">
        <v>187</v>
      </c>
      <c r="O7" s="68" t="s">
        <v>188</v>
      </c>
      <c r="AL7" s="68" t="s">
        <v>44</v>
      </c>
      <c r="AU7" s="68" t="s">
        <v>189</v>
      </c>
      <c r="AV7" s="68" t="s">
        <v>190</v>
      </c>
      <c r="AY7" s="69"/>
      <c r="AZ7" s="68" t="s">
        <v>191</v>
      </c>
      <c r="BA7" s="68" t="s">
        <v>192</v>
      </c>
      <c r="BB7" s="68" t="s">
        <v>193</v>
      </c>
      <c r="BC7" s="68" t="s">
        <v>194</v>
      </c>
      <c r="BD7" s="68" t="s">
        <v>195</v>
      </c>
      <c r="BE7" s="68" t="s">
        <v>196</v>
      </c>
      <c r="BI7" s="68" t="s">
        <v>197</v>
      </c>
      <c r="BL7" s="68" t="s">
        <v>198</v>
      </c>
      <c r="BM7" s="68" t="s">
        <v>199</v>
      </c>
      <c r="BO7" s="70" t="s">
        <v>72</v>
      </c>
      <c r="BP7" s="68" t="s">
        <v>200</v>
      </c>
      <c r="BR7" s="68" t="s">
        <v>75</v>
      </c>
      <c r="BS7" s="68" t="s">
        <v>76</v>
      </c>
      <c r="CM7" s="84"/>
    </row>
    <row r="8" spans="1:91" s="68" customFormat="1" ht="37.15" customHeight="1">
      <c r="A8" s="207" t="s">
        <v>201</v>
      </c>
      <c r="B8" s="74" t="s">
        <v>202</v>
      </c>
      <c r="C8" s="68" t="s">
        <v>203</v>
      </c>
      <c r="D8" s="68" t="s">
        <v>204</v>
      </c>
      <c r="E8" s="68" t="s">
        <v>11</v>
      </c>
      <c r="F8" s="68" t="s">
        <v>12</v>
      </c>
      <c r="G8" s="68" t="s">
        <v>205</v>
      </c>
      <c r="H8" s="68" t="s">
        <v>206</v>
      </c>
      <c r="I8" s="68" t="s">
        <v>207</v>
      </c>
      <c r="J8" s="77" t="s">
        <v>208</v>
      </c>
      <c r="K8" s="68" t="s">
        <v>209</v>
      </c>
      <c r="L8" s="68" t="s">
        <v>210</v>
      </c>
      <c r="M8" s="68" t="s">
        <v>211</v>
      </c>
      <c r="N8" s="78" t="s">
        <v>212</v>
      </c>
      <c r="O8" s="68" t="s">
        <v>213</v>
      </c>
      <c r="P8" s="74" t="s">
        <v>214</v>
      </c>
      <c r="Q8" s="74"/>
      <c r="R8" s="68" t="s">
        <v>215</v>
      </c>
      <c r="S8" s="68" t="s">
        <v>216</v>
      </c>
      <c r="T8" s="68" t="s">
        <v>217</v>
      </c>
      <c r="U8" s="68" t="s">
        <v>27</v>
      </c>
      <c r="V8" s="68" t="s">
        <v>218</v>
      </c>
      <c r="W8" s="68" t="s">
        <v>219</v>
      </c>
      <c r="X8" s="74" t="s">
        <v>202</v>
      </c>
      <c r="Y8" s="68" t="s">
        <v>220</v>
      </c>
      <c r="Z8" s="74" t="s">
        <v>202</v>
      </c>
      <c r="AA8" s="74" t="s">
        <v>202</v>
      </c>
      <c r="AB8" s="78" t="s">
        <v>212</v>
      </c>
      <c r="AC8" s="74" t="s">
        <v>35</v>
      </c>
      <c r="AD8" s="78" t="s">
        <v>212</v>
      </c>
      <c r="AE8" s="81" t="s">
        <v>221</v>
      </c>
      <c r="AF8" s="68" t="s">
        <v>222</v>
      </c>
      <c r="AG8" s="77" t="s">
        <v>212</v>
      </c>
      <c r="AH8" s="77" t="s">
        <v>212</v>
      </c>
      <c r="AL8" s="68" t="s">
        <v>223</v>
      </c>
      <c r="AM8" s="68" t="s">
        <v>223</v>
      </c>
      <c r="AN8" s="68" t="s">
        <v>224</v>
      </c>
      <c r="AU8" s="68" t="s">
        <v>224</v>
      </c>
      <c r="AV8" s="68" t="s">
        <v>225</v>
      </c>
      <c r="AW8" s="68" t="s">
        <v>226</v>
      </c>
      <c r="AX8" s="77" t="s">
        <v>212</v>
      </c>
      <c r="AY8" s="76" t="s">
        <v>227</v>
      </c>
      <c r="AZ8" s="68" t="s">
        <v>228</v>
      </c>
      <c r="BA8" s="68" t="s">
        <v>229</v>
      </c>
      <c r="BB8" s="77" t="s">
        <v>212</v>
      </c>
      <c r="BC8" s="82" t="s">
        <v>230</v>
      </c>
      <c r="BD8" s="82" t="s">
        <v>231</v>
      </c>
      <c r="BE8" s="68" t="s">
        <v>232</v>
      </c>
      <c r="BF8" s="81" t="s">
        <v>233</v>
      </c>
      <c r="BG8" s="81"/>
      <c r="BH8" s="81"/>
      <c r="BI8" s="81"/>
      <c r="BJ8" s="81" t="s">
        <v>234</v>
      </c>
      <c r="BK8" s="81" t="s">
        <v>221</v>
      </c>
      <c r="BL8" s="68" t="s">
        <v>235</v>
      </c>
      <c r="BM8" s="68" t="s">
        <v>70</v>
      </c>
      <c r="BN8" s="68" t="s">
        <v>71</v>
      </c>
      <c r="BO8" s="74" t="s">
        <v>202</v>
      </c>
      <c r="BP8" s="74" t="s">
        <v>202</v>
      </c>
      <c r="BQ8" s="74" t="s">
        <v>202</v>
      </c>
      <c r="BR8" s="74" t="s">
        <v>202</v>
      </c>
      <c r="BS8" s="74" t="s">
        <v>202</v>
      </c>
      <c r="BT8" s="78" t="s">
        <v>208</v>
      </c>
      <c r="BU8" s="78" t="s">
        <v>208</v>
      </c>
      <c r="CM8" s="84"/>
    </row>
    <row r="9" spans="1:91" s="68" customFormat="1" ht="37.15" customHeight="1">
      <c r="A9" s="207" t="s">
        <v>236</v>
      </c>
      <c r="C9" s="68" t="s">
        <v>237</v>
      </c>
      <c r="D9" s="77"/>
      <c r="H9" s="68" t="s">
        <v>238</v>
      </c>
      <c r="I9" s="77" t="s">
        <v>208</v>
      </c>
      <c r="J9" s="77" t="s">
        <v>208</v>
      </c>
      <c r="K9" s="68" t="s">
        <v>239</v>
      </c>
      <c r="L9" s="68" t="s">
        <v>210</v>
      </c>
      <c r="M9" s="68" t="s">
        <v>240</v>
      </c>
      <c r="N9" s="78" t="s">
        <v>212</v>
      </c>
      <c r="O9" s="68" t="s">
        <v>241</v>
      </c>
      <c r="P9" s="78" t="s">
        <v>208</v>
      </c>
      <c r="Q9" s="78"/>
      <c r="R9" s="74"/>
      <c r="S9" s="68" t="s">
        <v>242</v>
      </c>
      <c r="T9" s="68" t="s">
        <v>243</v>
      </c>
      <c r="U9" s="74"/>
      <c r="V9" s="74"/>
      <c r="W9" s="74"/>
      <c r="X9" s="74"/>
      <c r="Y9" s="74" t="s">
        <v>244</v>
      </c>
      <c r="Z9" s="74"/>
      <c r="AA9" s="74"/>
      <c r="AB9" s="78" t="s">
        <v>212</v>
      </c>
      <c r="AC9" s="74" t="s">
        <v>35</v>
      </c>
      <c r="AD9" s="74" t="s">
        <v>245</v>
      </c>
      <c r="AE9" s="74" t="s">
        <v>246</v>
      </c>
      <c r="AF9" s="74" t="s">
        <v>247</v>
      </c>
      <c r="AG9" s="68" t="s">
        <v>226</v>
      </c>
      <c r="AH9" s="68" t="s">
        <v>226</v>
      </c>
      <c r="AI9" s="74"/>
      <c r="AL9" s="68" t="s">
        <v>35</v>
      </c>
      <c r="AM9" s="68" t="s">
        <v>35</v>
      </c>
      <c r="AU9" s="68" t="s">
        <v>224</v>
      </c>
      <c r="AV9" s="68" t="s">
        <v>248</v>
      </c>
      <c r="AW9" s="68" t="s">
        <v>226</v>
      </c>
      <c r="AY9" s="76"/>
      <c r="AZ9" s="68" t="s">
        <v>191</v>
      </c>
      <c r="BA9" s="68" t="s">
        <v>229</v>
      </c>
      <c r="BB9" s="77"/>
      <c r="BC9" s="68" t="s">
        <v>245</v>
      </c>
      <c r="BD9" s="68" t="s">
        <v>249</v>
      </c>
      <c r="BE9" s="74" t="s">
        <v>250</v>
      </c>
      <c r="BF9" s="70" t="s">
        <v>251</v>
      </c>
      <c r="BG9" s="70" t="s">
        <v>200</v>
      </c>
      <c r="BH9" s="70"/>
      <c r="BI9" s="70"/>
      <c r="BJ9" s="74" t="s">
        <v>250</v>
      </c>
      <c r="BK9" s="74" t="s">
        <v>250</v>
      </c>
      <c r="BL9" s="77" t="s">
        <v>208</v>
      </c>
      <c r="BM9" s="77"/>
      <c r="BN9" s="77"/>
      <c r="BT9" s="78" t="s">
        <v>208</v>
      </c>
      <c r="BU9" s="78" t="s">
        <v>208</v>
      </c>
      <c r="CM9" s="84"/>
    </row>
    <row r="10" spans="1:91" s="68" customFormat="1" ht="37.15" customHeight="1">
      <c r="A10" s="207" t="s">
        <v>252</v>
      </c>
      <c r="C10" s="68" t="s">
        <v>253</v>
      </c>
      <c r="H10" s="68" t="s">
        <v>254</v>
      </c>
      <c r="I10" s="68" t="s">
        <v>255</v>
      </c>
      <c r="J10" s="80" t="s">
        <v>256</v>
      </c>
      <c r="K10" s="68" t="s">
        <v>257</v>
      </c>
      <c r="L10" s="68" t="s">
        <v>210</v>
      </c>
      <c r="M10" s="68" t="s">
        <v>258</v>
      </c>
      <c r="N10" s="78" t="s">
        <v>212</v>
      </c>
      <c r="O10" s="68" t="s">
        <v>259</v>
      </c>
      <c r="P10" s="74" t="s">
        <v>260</v>
      </c>
      <c r="Q10" s="74"/>
      <c r="R10" s="74" t="s">
        <v>24</v>
      </c>
      <c r="S10" s="68" t="s">
        <v>261</v>
      </c>
      <c r="T10" s="68" t="s">
        <v>262</v>
      </c>
      <c r="U10" s="74"/>
      <c r="V10" s="74"/>
      <c r="W10" s="74"/>
      <c r="X10" s="74"/>
      <c r="Y10" s="74" t="s">
        <v>263</v>
      </c>
      <c r="Z10" s="74"/>
      <c r="AA10" s="74"/>
      <c r="AB10" s="78" t="s">
        <v>212</v>
      </c>
      <c r="AC10" s="74" t="s">
        <v>264</v>
      </c>
      <c r="AD10" s="74"/>
      <c r="AE10" s="74"/>
      <c r="AF10" s="74" t="s">
        <v>265</v>
      </c>
      <c r="AG10" s="77" t="s">
        <v>212</v>
      </c>
      <c r="AH10" s="77" t="s">
        <v>212</v>
      </c>
      <c r="AI10" s="74"/>
      <c r="AN10" s="68" t="s">
        <v>266</v>
      </c>
      <c r="AU10" s="68" t="s">
        <v>266</v>
      </c>
      <c r="AV10" s="68" t="s">
        <v>267</v>
      </c>
      <c r="AW10" s="68" t="s">
        <v>226</v>
      </c>
      <c r="AX10" s="68" t="s">
        <v>56</v>
      </c>
      <c r="AY10" s="76" t="s">
        <v>57</v>
      </c>
      <c r="AZ10" s="68" t="s">
        <v>228</v>
      </c>
      <c r="BA10" s="68" t="s">
        <v>229</v>
      </c>
      <c r="BC10" s="68" t="s">
        <v>268</v>
      </c>
      <c r="BD10" s="74"/>
      <c r="BE10" s="74"/>
      <c r="BF10" s="68" t="s">
        <v>269</v>
      </c>
      <c r="BG10" s="70" t="s">
        <v>270</v>
      </c>
      <c r="BH10" s="70" t="s">
        <v>200</v>
      </c>
      <c r="BJ10" s="74" t="s">
        <v>271</v>
      </c>
      <c r="BK10" s="74"/>
      <c r="BT10" s="78" t="s">
        <v>208</v>
      </c>
      <c r="BU10" s="78" t="s">
        <v>208</v>
      </c>
      <c r="CM10" s="84"/>
    </row>
    <row r="11" spans="1:91" s="68" customFormat="1" ht="25.5" customHeight="1">
      <c r="A11" s="207" t="s">
        <v>272</v>
      </c>
      <c r="C11" s="68" t="s">
        <v>273</v>
      </c>
      <c r="I11" s="68" t="s">
        <v>274</v>
      </c>
      <c r="K11" s="68" t="s">
        <v>275</v>
      </c>
      <c r="L11" s="68" t="s">
        <v>176</v>
      </c>
      <c r="O11" s="68" t="s">
        <v>276</v>
      </c>
      <c r="S11" s="68" t="s">
        <v>277</v>
      </c>
      <c r="T11" s="68" t="s">
        <v>278</v>
      </c>
      <c r="V11" s="68" t="s">
        <v>279</v>
      </c>
      <c r="X11" s="68" t="s">
        <v>280</v>
      </c>
      <c r="Y11" s="68" t="s">
        <v>31</v>
      </c>
      <c r="Z11" s="68" t="s">
        <v>32</v>
      </c>
      <c r="AA11" s="68" t="s">
        <v>33</v>
      </c>
      <c r="AB11" s="68" t="s">
        <v>281</v>
      </c>
      <c r="AG11" s="68" t="s">
        <v>282</v>
      </c>
      <c r="AL11" s="68" t="s">
        <v>44</v>
      </c>
      <c r="AM11" s="68" t="s">
        <v>44</v>
      </c>
      <c r="AY11" s="69"/>
      <c r="AZ11" s="68" t="s">
        <v>283</v>
      </c>
      <c r="BA11" s="68" t="s">
        <v>284</v>
      </c>
      <c r="BC11" s="68" t="s">
        <v>285</v>
      </c>
      <c r="BE11" s="68" t="s">
        <v>184</v>
      </c>
      <c r="BL11" s="68" t="s">
        <v>286</v>
      </c>
      <c r="BT11" s="68" t="s">
        <v>31</v>
      </c>
      <c r="BV11" s="70"/>
      <c r="BW11" s="70"/>
      <c r="BX11" s="70"/>
      <c r="BY11" s="70"/>
      <c r="BZ11" s="70"/>
      <c r="CA11" s="70"/>
      <c r="CB11" s="70"/>
      <c r="CC11" s="70"/>
      <c r="CD11" s="70"/>
      <c r="CE11" s="70"/>
      <c r="CF11" s="70"/>
      <c r="CG11" s="70"/>
      <c r="CH11" s="70"/>
      <c r="CI11" s="70"/>
      <c r="CJ11" s="70"/>
      <c r="CK11" s="70"/>
      <c r="CM11" s="84"/>
    </row>
    <row r="12" spans="1:91" s="70" customFormat="1" ht="33" customHeight="1">
      <c r="A12" s="207" t="s">
        <v>287</v>
      </c>
      <c r="B12" s="70" t="s">
        <v>288</v>
      </c>
      <c r="D12" s="70" t="s">
        <v>10</v>
      </c>
      <c r="E12" s="70" t="s">
        <v>11</v>
      </c>
      <c r="F12" s="70" t="s">
        <v>12</v>
      </c>
      <c r="H12" s="70" t="s">
        <v>289</v>
      </c>
      <c r="I12" s="70" t="s">
        <v>207</v>
      </c>
      <c r="J12" s="70" t="s">
        <v>290</v>
      </c>
      <c r="K12" s="70" t="s">
        <v>291</v>
      </c>
      <c r="N12" s="70" t="s">
        <v>292</v>
      </c>
      <c r="O12" s="70" t="s">
        <v>293</v>
      </c>
      <c r="P12" s="70" t="s">
        <v>294</v>
      </c>
      <c r="R12" s="70" t="s">
        <v>295</v>
      </c>
      <c r="T12" s="70" t="s">
        <v>26</v>
      </c>
      <c r="V12" s="70" t="s">
        <v>296</v>
      </c>
      <c r="W12" s="70" t="s">
        <v>29</v>
      </c>
      <c r="Z12" s="70" t="s">
        <v>297</v>
      </c>
      <c r="AA12" s="70" t="s">
        <v>297</v>
      </c>
      <c r="AC12" s="70" t="s">
        <v>298</v>
      </c>
      <c r="AE12" s="70" t="s">
        <v>297</v>
      </c>
      <c r="AG12" s="70" t="s">
        <v>297</v>
      </c>
      <c r="AJ12" s="70" t="s">
        <v>297</v>
      </c>
      <c r="AK12" s="70" t="s">
        <v>297</v>
      </c>
      <c r="AL12" s="70" t="s">
        <v>298</v>
      </c>
      <c r="AM12" s="70" t="s">
        <v>298</v>
      </c>
      <c r="AU12" s="70" t="s">
        <v>299</v>
      </c>
      <c r="AV12" s="70" t="s">
        <v>300</v>
      </c>
      <c r="AW12" s="70" t="s">
        <v>301</v>
      </c>
      <c r="AX12" s="70" t="s">
        <v>56</v>
      </c>
      <c r="AY12" s="70" t="s">
        <v>57</v>
      </c>
      <c r="AZ12" s="70" t="s">
        <v>302</v>
      </c>
      <c r="BA12" s="70" t="s">
        <v>303</v>
      </c>
      <c r="BD12" s="70" t="s">
        <v>304</v>
      </c>
      <c r="BF12" s="70" t="s">
        <v>305</v>
      </c>
      <c r="BL12" s="70" t="s">
        <v>69</v>
      </c>
      <c r="BM12" s="70" t="s">
        <v>70</v>
      </c>
      <c r="BN12" s="70" t="s">
        <v>71</v>
      </c>
      <c r="BR12" s="70" t="s">
        <v>297</v>
      </c>
      <c r="BS12" s="70" t="s">
        <v>297</v>
      </c>
      <c r="BT12" s="70" t="s">
        <v>306</v>
      </c>
      <c r="BU12" s="70" t="s">
        <v>307</v>
      </c>
      <c r="CM12" s="108"/>
    </row>
    <row r="13" spans="1:91" s="71" customFormat="1" ht="33" customHeight="1">
      <c r="A13" s="207" t="s">
        <v>308</v>
      </c>
      <c r="B13" s="70"/>
      <c r="C13" s="70"/>
      <c r="D13" s="70"/>
      <c r="E13" s="70"/>
      <c r="F13" s="70"/>
      <c r="G13" s="70"/>
      <c r="H13" s="70" t="s">
        <v>309</v>
      </c>
      <c r="I13" s="70"/>
      <c r="J13" s="70"/>
      <c r="K13" s="70" t="s">
        <v>310</v>
      </c>
      <c r="L13" s="70" t="s">
        <v>311</v>
      </c>
      <c r="M13" s="70" t="s">
        <v>312</v>
      </c>
      <c r="N13" s="79" t="s">
        <v>212</v>
      </c>
      <c r="O13" s="70" t="s">
        <v>313</v>
      </c>
      <c r="P13" s="70"/>
      <c r="Q13" s="70"/>
      <c r="R13" s="70"/>
      <c r="S13" s="70" t="s">
        <v>314</v>
      </c>
      <c r="T13" s="70" t="s">
        <v>315</v>
      </c>
      <c r="U13" s="70"/>
      <c r="V13" s="70" t="s">
        <v>316</v>
      </c>
      <c r="W13" s="79" t="s">
        <v>317</v>
      </c>
      <c r="X13" s="70"/>
      <c r="Y13" s="70" t="s">
        <v>318</v>
      </c>
      <c r="Z13" s="70"/>
      <c r="AA13" s="70"/>
      <c r="AB13" s="79" t="s">
        <v>212</v>
      </c>
      <c r="AC13" s="70" t="s">
        <v>319</v>
      </c>
      <c r="AD13" s="70"/>
      <c r="AE13" s="70"/>
      <c r="AF13" s="70"/>
      <c r="AG13" s="79" t="s">
        <v>212</v>
      </c>
      <c r="AH13" s="79" t="s">
        <v>212</v>
      </c>
      <c r="AI13" s="70"/>
      <c r="AJ13" s="70"/>
      <c r="AK13" s="70"/>
      <c r="AL13" s="68" t="s">
        <v>223</v>
      </c>
      <c r="AM13" s="68" t="s">
        <v>223</v>
      </c>
      <c r="AN13" s="68" t="s">
        <v>224</v>
      </c>
      <c r="AO13" s="70"/>
      <c r="AP13" s="70"/>
      <c r="AQ13" s="70"/>
      <c r="AR13" s="70"/>
      <c r="AS13" s="70"/>
      <c r="AT13" s="70"/>
      <c r="AU13" s="68" t="s">
        <v>224</v>
      </c>
      <c r="AV13" s="70"/>
      <c r="AW13" s="70"/>
      <c r="AX13" s="70"/>
      <c r="AY13" s="70"/>
      <c r="AZ13" s="70" t="s">
        <v>320</v>
      </c>
      <c r="BA13" s="70" t="s">
        <v>192</v>
      </c>
      <c r="BB13" s="70"/>
      <c r="BC13" s="70"/>
      <c r="BD13" s="70" t="s">
        <v>62</v>
      </c>
      <c r="BE13" s="70" t="s">
        <v>63</v>
      </c>
      <c r="BF13" s="70" t="s">
        <v>321</v>
      </c>
      <c r="BG13" s="70" t="s">
        <v>322</v>
      </c>
      <c r="BH13" s="70" t="s">
        <v>200</v>
      </c>
      <c r="BI13" s="70"/>
      <c r="BJ13" s="70" t="s">
        <v>68</v>
      </c>
      <c r="BK13" s="70"/>
      <c r="BL13" s="70" t="s">
        <v>323</v>
      </c>
      <c r="BM13" s="70"/>
      <c r="BN13" s="70"/>
      <c r="BO13" s="70"/>
      <c r="BP13" s="70"/>
      <c r="BQ13" s="70"/>
      <c r="BR13" s="70"/>
      <c r="BS13" s="70"/>
      <c r="BT13" s="70"/>
      <c r="BU13" s="70"/>
      <c r="BV13" s="70" t="s">
        <v>200</v>
      </c>
      <c r="BW13" s="70"/>
      <c r="BX13" s="70"/>
      <c r="BY13" s="70"/>
      <c r="BZ13" s="70"/>
      <c r="CA13" s="70"/>
      <c r="CB13" s="70"/>
      <c r="CC13" s="70"/>
      <c r="CD13" s="70"/>
      <c r="CE13" s="70"/>
      <c r="CF13" s="70"/>
      <c r="CG13" s="70"/>
      <c r="CH13" s="70"/>
      <c r="CI13" s="70"/>
      <c r="CJ13" s="70"/>
      <c r="CK13" s="70"/>
      <c r="CL13" s="70"/>
    </row>
    <row r="14" spans="1:91" s="71" customFormat="1" ht="33" customHeight="1">
      <c r="A14" s="207" t="s">
        <v>208</v>
      </c>
      <c r="B14" s="70"/>
      <c r="C14" s="70"/>
      <c r="D14" s="70" t="s">
        <v>324</v>
      </c>
      <c r="E14" s="70" t="s">
        <v>325</v>
      </c>
      <c r="F14" s="70" t="s">
        <v>326</v>
      </c>
      <c r="G14" s="70" t="s">
        <v>200</v>
      </c>
      <c r="H14" s="70" t="s">
        <v>254</v>
      </c>
      <c r="I14" s="70" t="s">
        <v>207</v>
      </c>
      <c r="J14" s="70" t="s">
        <v>256</v>
      </c>
      <c r="K14" s="70" t="s">
        <v>327</v>
      </c>
      <c r="L14" s="75" t="s">
        <v>202</v>
      </c>
      <c r="M14" s="75" t="s">
        <v>202</v>
      </c>
      <c r="N14" s="79" t="s">
        <v>212</v>
      </c>
      <c r="O14" s="70" t="s">
        <v>328</v>
      </c>
      <c r="P14" s="70" t="s">
        <v>260</v>
      </c>
      <c r="Q14" s="70"/>
      <c r="R14" s="70" t="s">
        <v>24</v>
      </c>
      <c r="S14" s="75" t="s">
        <v>202</v>
      </c>
      <c r="T14" s="75" t="s">
        <v>202</v>
      </c>
      <c r="U14" s="75" t="s">
        <v>202</v>
      </c>
      <c r="V14" s="75" t="s">
        <v>202</v>
      </c>
      <c r="W14" s="75" t="s">
        <v>202</v>
      </c>
      <c r="X14" s="75"/>
      <c r="Y14" s="75" t="s">
        <v>329</v>
      </c>
      <c r="Z14" s="75" t="s">
        <v>202</v>
      </c>
      <c r="AA14" s="75" t="s">
        <v>202</v>
      </c>
      <c r="AB14" s="75" t="s">
        <v>202</v>
      </c>
      <c r="AC14" s="75" t="s">
        <v>202</v>
      </c>
      <c r="AD14" s="75" t="s">
        <v>202</v>
      </c>
      <c r="AE14" s="75" t="s">
        <v>202</v>
      </c>
      <c r="AF14" s="75" t="s">
        <v>202</v>
      </c>
      <c r="AG14" s="75" t="s">
        <v>202</v>
      </c>
      <c r="AH14" s="75" t="s">
        <v>202</v>
      </c>
      <c r="AI14" s="75" t="s">
        <v>202</v>
      </c>
      <c r="AJ14" s="75" t="s">
        <v>202</v>
      </c>
      <c r="AK14" s="75" t="s">
        <v>202</v>
      </c>
      <c r="AL14" s="70" t="s">
        <v>330</v>
      </c>
      <c r="AM14" s="70" t="s">
        <v>331</v>
      </c>
      <c r="AN14" s="70" t="s">
        <v>332</v>
      </c>
      <c r="AO14" s="70"/>
      <c r="AP14" s="70"/>
      <c r="AQ14" s="70"/>
      <c r="AR14" s="70"/>
      <c r="AS14" s="70"/>
      <c r="AT14" s="70"/>
      <c r="AU14" s="70" t="s">
        <v>333</v>
      </c>
      <c r="AV14" s="70"/>
      <c r="AW14" s="75" t="s">
        <v>334</v>
      </c>
      <c r="AX14" s="70" t="s">
        <v>335</v>
      </c>
      <c r="AY14" s="70"/>
      <c r="AZ14" s="70" t="s">
        <v>228</v>
      </c>
      <c r="BA14" s="70" t="s">
        <v>229</v>
      </c>
      <c r="BB14" s="70"/>
      <c r="BC14" s="70" t="s">
        <v>336</v>
      </c>
      <c r="BD14" s="75" t="s">
        <v>202</v>
      </c>
      <c r="BE14" s="70" t="s">
        <v>337</v>
      </c>
      <c r="BF14" s="70" t="s">
        <v>337</v>
      </c>
      <c r="BG14" s="70" t="s">
        <v>200</v>
      </c>
      <c r="BH14" s="70" t="s">
        <v>200</v>
      </c>
      <c r="BI14" s="70"/>
      <c r="BJ14" s="70" t="s">
        <v>68</v>
      </c>
      <c r="BK14" s="70" t="s">
        <v>338</v>
      </c>
      <c r="BL14" s="70" t="s">
        <v>339</v>
      </c>
      <c r="BM14" s="70" t="s">
        <v>70</v>
      </c>
      <c r="BN14" s="70" t="s">
        <v>71</v>
      </c>
      <c r="BO14" s="70"/>
      <c r="BP14" s="70" t="s">
        <v>340</v>
      </c>
      <c r="BQ14" s="70" t="s">
        <v>341</v>
      </c>
      <c r="BR14" s="70" t="s">
        <v>200</v>
      </c>
      <c r="BS14" s="70"/>
      <c r="BT14" s="70" t="s">
        <v>342</v>
      </c>
      <c r="BU14" s="70" t="s">
        <v>78</v>
      </c>
      <c r="BV14" s="70"/>
      <c r="BW14" s="70"/>
      <c r="BX14" s="70"/>
      <c r="BY14" s="70"/>
      <c r="BZ14" s="70"/>
      <c r="CA14" s="70"/>
      <c r="CB14" s="70"/>
      <c r="CC14" s="70"/>
      <c r="CD14" s="70"/>
      <c r="CE14" s="70"/>
      <c r="CF14" s="70"/>
      <c r="CG14" s="70"/>
      <c r="CH14" s="70"/>
      <c r="CI14" s="70"/>
      <c r="CJ14" s="70"/>
      <c r="CK14" s="70"/>
      <c r="CL14" s="70"/>
    </row>
    <row r="15" spans="1:91" s="71" customFormat="1" ht="33" customHeight="1">
      <c r="A15" s="209" t="s">
        <v>343</v>
      </c>
      <c r="B15" s="70"/>
      <c r="C15" s="70"/>
      <c r="D15" s="70"/>
      <c r="E15" s="70"/>
      <c r="F15" s="70"/>
      <c r="G15" s="70"/>
      <c r="H15" s="70"/>
      <c r="I15" s="70"/>
      <c r="J15" s="70"/>
      <c r="K15" s="70"/>
      <c r="L15" s="75"/>
      <c r="M15" s="75"/>
      <c r="N15" s="79"/>
      <c r="O15" s="70"/>
      <c r="P15" s="70"/>
      <c r="Q15" s="70"/>
      <c r="R15" s="70"/>
      <c r="S15" s="75"/>
      <c r="T15" s="75"/>
      <c r="U15" s="75"/>
      <c r="V15" s="75"/>
      <c r="W15" s="75"/>
      <c r="X15" s="75"/>
      <c r="Y15" s="75"/>
      <c r="Z15" s="75"/>
      <c r="AA15" s="75"/>
      <c r="AB15" s="75"/>
      <c r="AC15" s="75"/>
      <c r="AD15" s="75"/>
      <c r="AE15" s="75"/>
      <c r="AF15" s="75"/>
      <c r="AG15" s="75"/>
      <c r="AH15" s="75"/>
      <c r="AI15" s="75"/>
      <c r="AJ15" s="75"/>
      <c r="AK15" s="75"/>
      <c r="AL15" s="70"/>
      <c r="AM15" s="70"/>
      <c r="AN15" s="70"/>
      <c r="AO15" s="70"/>
      <c r="AP15" s="70"/>
      <c r="AQ15" s="70"/>
      <c r="AR15" s="70"/>
      <c r="AS15" s="70"/>
      <c r="AT15" s="70"/>
      <c r="AU15" s="70"/>
      <c r="AV15" s="70"/>
      <c r="AW15" s="75"/>
      <c r="AX15" s="70"/>
      <c r="AY15" s="70"/>
      <c r="AZ15" s="70"/>
      <c r="BA15" s="70"/>
      <c r="BB15" s="70"/>
      <c r="BC15" s="70"/>
      <c r="BD15" s="75"/>
      <c r="BE15" s="70"/>
      <c r="BF15" s="70"/>
      <c r="BG15" s="70"/>
      <c r="BH15" s="70"/>
      <c r="BI15" s="70"/>
      <c r="BJ15" s="70"/>
      <c r="BK15" s="70"/>
      <c r="BL15" s="70"/>
      <c r="BM15" s="70"/>
      <c r="BN15" s="70"/>
      <c r="BO15" s="70"/>
      <c r="BP15" s="70"/>
      <c r="BQ15" s="70"/>
      <c r="BR15" s="70"/>
      <c r="BS15" s="70"/>
      <c r="BT15" s="70"/>
      <c r="BU15" s="70"/>
      <c r="BV15" s="70"/>
      <c r="BW15" s="70"/>
      <c r="BX15" s="70"/>
      <c r="BY15" s="70"/>
      <c r="BZ15" s="70"/>
      <c r="CA15" s="70"/>
      <c r="CB15" s="70"/>
      <c r="CC15" s="70"/>
      <c r="CD15" s="70"/>
      <c r="CE15" s="70"/>
      <c r="CF15" s="70"/>
      <c r="CG15" s="70"/>
      <c r="CH15" s="70"/>
      <c r="CI15" s="70"/>
      <c r="CJ15" s="70"/>
      <c r="CK15" s="70"/>
      <c r="CL15" s="70"/>
    </row>
    <row r="16" spans="1:91" s="65" customFormat="1" ht="33" customHeight="1">
      <c r="A16" s="125"/>
      <c r="B16" s="126"/>
      <c r="C16" s="126"/>
      <c r="D16" s="126"/>
      <c r="E16" s="126"/>
      <c r="F16" s="126"/>
      <c r="G16" s="126"/>
      <c r="H16" s="126"/>
      <c r="I16" s="126"/>
      <c r="J16" s="126"/>
      <c r="K16" s="126"/>
      <c r="L16" s="126"/>
      <c r="M16" s="126"/>
      <c r="N16" s="126"/>
      <c r="O16" s="126"/>
      <c r="P16" s="126"/>
      <c r="Q16" s="126"/>
      <c r="R16" s="126"/>
      <c r="S16" s="126"/>
      <c r="T16" s="126"/>
      <c r="U16" s="126"/>
      <c r="V16" s="126"/>
      <c r="W16" s="126"/>
      <c r="X16" s="126"/>
      <c r="Y16" s="126"/>
      <c r="Z16" s="126"/>
      <c r="AA16" s="126"/>
      <c r="AB16" s="126"/>
      <c r="AC16" s="126"/>
      <c r="AD16" s="126"/>
      <c r="AE16" s="126"/>
      <c r="AF16" s="126"/>
      <c r="AG16" s="126"/>
      <c r="AH16" s="126"/>
      <c r="AI16" s="126"/>
      <c r="AJ16" s="126"/>
      <c r="AK16" s="126"/>
      <c r="AL16" s="126"/>
      <c r="AM16" s="126"/>
      <c r="AN16" s="126"/>
      <c r="AO16" s="126"/>
      <c r="AP16" s="126"/>
      <c r="AQ16" s="126"/>
      <c r="AR16" s="126"/>
      <c r="AS16" s="126"/>
      <c r="AT16" s="126"/>
      <c r="AU16" s="126"/>
      <c r="AV16" s="126"/>
      <c r="AW16" s="126"/>
      <c r="AX16" s="126"/>
      <c r="AY16" s="126"/>
      <c r="AZ16" s="126"/>
      <c r="BA16" s="126"/>
      <c r="BB16" s="126"/>
      <c r="BC16" s="126"/>
      <c r="BD16" s="126"/>
      <c r="BE16" s="126"/>
      <c r="BF16" s="126"/>
      <c r="BG16" s="126"/>
      <c r="BH16" s="126"/>
      <c r="BI16" s="126"/>
      <c r="BJ16" s="126"/>
      <c r="BK16" s="126"/>
      <c r="BL16" s="126"/>
      <c r="BM16" s="126"/>
      <c r="BN16" s="126"/>
      <c r="BO16" s="126"/>
      <c r="BP16" s="126"/>
      <c r="BQ16" s="126"/>
      <c r="BR16" s="126"/>
      <c r="BS16" s="126"/>
      <c r="BT16" s="126"/>
      <c r="BU16" s="126"/>
      <c r="BV16" s="126"/>
      <c r="BW16" s="126"/>
      <c r="BX16" s="126"/>
      <c r="BY16" s="126"/>
      <c r="BZ16" s="126"/>
      <c r="CA16" s="126"/>
      <c r="CB16" s="126"/>
      <c r="CC16" s="126"/>
      <c r="CD16" s="126"/>
      <c r="CE16" s="126"/>
      <c r="CF16" s="126"/>
      <c r="CG16" s="126"/>
      <c r="CH16" s="126"/>
      <c r="CI16" s="126"/>
      <c r="CJ16" s="126"/>
      <c r="CK16" s="126"/>
      <c r="CL16" s="126"/>
    </row>
    <row r="17" spans="1:91">
      <c r="A17" s="127" t="s">
        <v>344</v>
      </c>
      <c r="B17" s="128" t="s">
        <v>345</v>
      </c>
      <c r="D17" s="128" t="s">
        <v>346</v>
      </c>
      <c r="E17" s="128">
        <v>46.142674</v>
      </c>
      <c r="F17" s="128">
        <v>-115.598088</v>
      </c>
      <c r="H17" s="128" t="s">
        <v>347</v>
      </c>
      <c r="I17" s="128" t="s">
        <v>348</v>
      </c>
      <c r="J17" s="128" t="s">
        <v>349</v>
      </c>
      <c r="K17" s="129">
        <v>42824.370138888888</v>
      </c>
      <c r="N17" s="128">
        <v>2017</v>
      </c>
      <c r="P17" s="128" t="s">
        <v>350</v>
      </c>
      <c r="R17" s="128">
        <v>2017</v>
      </c>
      <c r="T17" s="128">
        <v>12</v>
      </c>
      <c r="V17" s="128">
        <v>6.38</v>
      </c>
      <c r="AL17" s="128" t="s">
        <v>351</v>
      </c>
      <c r="AU17" s="128" t="s">
        <v>352</v>
      </c>
      <c r="AW17" s="128">
        <v>1</v>
      </c>
      <c r="AX17" s="128">
        <v>0</v>
      </c>
      <c r="AZ17" s="128">
        <v>113</v>
      </c>
      <c r="BA17" s="128">
        <v>2</v>
      </c>
      <c r="BD17" s="128" t="s">
        <v>353</v>
      </c>
      <c r="BT17" s="128">
        <v>6</v>
      </c>
      <c r="BU17" s="128">
        <v>6</v>
      </c>
    </row>
    <row r="18" spans="1:91" ht="15">
      <c r="A18" s="127" t="s">
        <v>344</v>
      </c>
      <c r="B18" s="128" t="s">
        <v>345</v>
      </c>
      <c r="D18" s="128" t="s">
        <v>346</v>
      </c>
      <c r="E18" s="128">
        <v>46.142674</v>
      </c>
      <c r="F18" s="128">
        <v>-115.598088</v>
      </c>
      <c r="H18" s="128" t="s">
        <v>347</v>
      </c>
      <c r="I18" s="128" t="s">
        <v>348</v>
      </c>
      <c r="J18" s="128" t="s">
        <v>349</v>
      </c>
      <c r="K18" s="129">
        <v>42824.370138888888</v>
      </c>
      <c r="N18" s="128">
        <v>2017</v>
      </c>
      <c r="P18" s="128" t="s">
        <v>350</v>
      </c>
      <c r="R18" s="128">
        <v>2017</v>
      </c>
      <c r="T18" s="128">
        <v>12</v>
      </c>
      <c r="V18" s="128">
        <v>6.38</v>
      </c>
      <c r="AL18" s="128" t="s">
        <v>351</v>
      </c>
      <c r="AU18" s="128" t="s">
        <v>352</v>
      </c>
      <c r="AW18" s="128">
        <v>1</v>
      </c>
      <c r="AX18" s="128">
        <v>0</v>
      </c>
      <c r="AZ18" s="128">
        <v>73</v>
      </c>
      <c r="BA18" s="128">
        <v>1</v>
      </c>
      <c r="BD18" s="128" t="s">
        <v>353</v>
      </c>
      <c r="BT18" s="128">
        <v>6</v>
      </c>
      <c r="BU18" s="128">
        <v>6</v>
      </c>
    </row>
    <row r="19" spans="1:91">
      <c r="A19" s="127" t="s">
        <v>354</v>
      </c>
      <c r="C19" s="128" t="s">
        <v>355</v>
      </c>
      <c r="D19" s="128" t="s">
        <v>356</v>
      </c>
      <c r="E19" s="128">
        <v>45.189839999999997</v>
      </c>
      <c r="F19" s="130">
        <v>-117.82756000000001</v>
      </c>
      <c r="G19" s="128" t="s">
        <v>357</v>
      </c>
      <c r="H19" s="128" t="s">
        <v>358</v>
      </c>
      <c r="I19" s="128" t="s">
        <v>359</v>
      </c>
      <c r="J19" s="128" t="s">
        <v>360</v>
      </c>
      <c r="K19" s="131">
        <v>44468</v>
      </c>
      <c r="L19" s="132">
        <v>44467.409722222219</v>
      </c>
      <c r="M19" s="133" t="s">
        <v>361</v>
      </c>
      <c r="N19" s="128">
        <v>2021</v>
      </c>
      <c r="O19" s="128" t="s">
        <v>362</v>
      </c>
      <c r="P19" s="128" t="s">
        <v>350</v>
      </c>
      <c r="R19" s="128">
        <v>2022</v>
      </c>
      <c r="S19" s="128" t="s">
        <v>363</v>
      </c>
      <c r="T19" s="128">
        <v>3.11</v>
      </c>
      <c r="U19" s="128">
        <v>3083</v>
      </c>
      <c r="V19" s="134" t="s">
        <v>364</v>
      </c>
      <c r="Y19" s="128">
        <v>10.5</v>
      </c>
      <c r="AB19" s="128" t="s">
        <v>365</v>
      </c>
      <c r="AC19" s="128" t="s">
        <v>366</v>
      </c>
      <c r="AE19" s="128" t="s">
        <v>367</v>
      </c>
      <c r="AF19" s="128" t="s">
        <v>368</v>
      </c>
      <c r="AG19" s="128">
        <v>20</v>
      </c>
      <c r="AH19" s="128">
        <v>7</v>
      </c>
      <c r="AI19" s="128">
        <v>0.26</v>
      </c>
      <c r="AM19" s="128" t="s">
        <v>366</v>
      </c>
      <c r="AN19" s="128" t="s">
        <v>369</v>
      </c>
      <c r="AU19" s="128" t="s">
        <v>352</v>
      </c>
      <c r="AV19" s="128">
        <v>124624</v>
      </c>
      <c r="AW19" s="128">
        <v>1</v>
      </c>
      <c r="AX19" s="128">
        <v>2020</v>
      </c>
      <c r="AZ19" s="128">
        <v>71</v>
      </c>
      <c r="BA19" s="128">
        <v>3.7</v>
      </c>
      <c r="BB19" s="128">
        <v>1.03</v>
      </c>
      <c r="BC19" s="128" t="s">
        <v>370</v>
      </c>
      <c r="BD19" s="128" t="s">
        <v>371</v>
      </c>
      <c r="BE19" s="128" t="s">
        <v>372</v>
      </c>
      <c r="BF19" s="128" t="s">
        <v>373</v>
      </c>
      <c r="BJ19" s="128" t="s">
        <v>374</v>
      </c>
      <c r="BK19" s="128" t="s">
        <v>367</v>
      </c>
      <c r="BL19" s="128" t="s">
        <v>375</v>
      </c>
      <c r="BM19" s="128" t="s">
        <v>200</v>
      </c>
      <c r="BN19" s="128" t="s">
        <v>376</v>
      </c>
    </row>
    <row r="20" spans="1:91">
      <c r="A20" s="127" t="s">
        <v>354</v>
      </c>
      <c r="C20" s="128" t="s">
        <v>355</v>
      </c>
      <c r="D20" s="128" t="s">
        <v>356</v>
      </c>
      <c r="E20" s="128">
        <v>45.189839999999997</v>
      </c>
      <c r="F20" s="130">
        <v>-117.82756000000001</v>
      </c>
      <c r="G20" s="128" t="s">
        <v>357</v>
      </c>
      <c r="H20" s="128" t="s">
        <v>377</v>
      </c>
      <c r="I20" s="128" t="s">
        <v>378</v>
      </c>
      <c r="J20" s="128" t="s">
        <v>360</v>
      </c>
      <c r="K20" s="131">
        <v>44469</v>
      </c>
      <c r="L20" s="133" t="s">
        <v>379</v>
      </c>
      <c r="M20" s="133" t="s">
        <v>380</v>
      </c>
      <c r="N20" s="128">
        <v>2021</v>
      </c>
      <c r="P20" s="128" t="s">
        <v>350</v>
      </c>
      <c r="R20" s="128">
        <v>2022</v>
      </c>
      <c r="S20" s="128" t="s">
        <v>381</v>
      </c>
      <c r="T20" s="128">
        <v>3.03</v>
      </c>
      <c r="U20" s="128">
        <v>4049</v>
      </c>
      <c r="V20" s="128">
        <v>1.05</v>
      </c>
      <c r="Y20" s="128">
        <v>7.5</v>
      </c>
      <c r="AB20" s="128" t="s">
        <v>365</v>
      </c>
      <c r="AC20" s="128" t="s">
        <v>382</v>
      </c>
      <c r="AE20" s="128" t="s">
        <v>367</v>
      </c>
      <c r="AF20" s="128" t="s">
        <v>368</v>
      </c>
      <c r="AG20" s="128">
        <v>4</v>
      </c>
      <c r="AH20" s="128">
        <v>0</v>
      </c>
      <c r="AI20" s="128">
        <v>0.13</v>
      </c>
      <c r="AM20" s="128" t="s">
        <v>366</v>
      </c>
      <c r="AN20" s="128" t="s">
        <v>369</v>
      </c>
      <c r="AU20" s="128" t="s">
        <v>352</v>
      </c>
      <c r="AV20" s="128">
        <v>124609</v>
      </c>
      <c r="AW20" s="128">
        <v>20</v>
      </c>
      <c r="AX20" s="128">
        <v>2020</v>
      </c>
      <c r="BC20" s="128" t="s">
        <v>370</v>
      </c>
      <c r="BD20" s="128" t="s">
        <v>383</v>
      </c>
      <c r="BE20" s="128" t="s">
        <v>372</v>
      </c>
      <c r="BJ20" s="128" t="s">
        <v>384</v>
      </c>
      <c r="BK20" s="128" t="s">
        <v>385</v>
      </c>
    </row>
    <row r="21" spans="1:91" s="83" customFormat="1" ht="44.45" customHeight="1">
      <c r="A21" s="124" t="s">
        <v>386</v>
      </c>
      <c r="B21" s="124" t="s">
        <v>387</v>
      </c>
      <c r="C21" s="124" t="s">
        <v>387</v>
      </c>
      <c r="D21" s="124"/>
      <c r="E21" s="124"/>
      <c r="F21" s="124"/>
      <c r="G21" s="124"/>
      <c r="H21" s="124" t="s">
        <v>388</v>
      </c>
      <c r="I21" s="124" t="s">
        <v>389</v>
      </c>
      <c r="J21" s="124"/>
      <c r="K21" s="124" t="s">
        <v>390</v>
      </c>
      <c r="L21" s="124" t="s">
        <v>391</v>
      </c>
      <c r="M21" s="124" t="s">
        <v>391</v>
      </c>
      <c r="N21" s="124"/>
      <c r="O21" s="124"/>
      <c r="P21" s="124" t="s">
        <v>392</v>
      </c>
      <c r="Q21" s="124"/>
      <c r="R21" s="124"/>
      <c r="S21" s="124"/>
      <c r="T21" s="124"/>
      <c r="U21" s="124"/>
      <c r="V21" s="124"/>
      <c r="W21" s="124"/>
      <c r="X21" s="124"/>
      <c r="Y21" s="124"/>
      <c r="Z21" s="124"/>
      <c r="AA21" s="124"/>
      <c r="AB21" s="124"/>
      <c r="AC21" s="124"/>
      <c r="AD21" s="124" t="s">
        <v>393</v>
      </c>
      <c r="AE21" s="124"/>
      <c r="AF21" s="124"/>
      <c r="AG21" s="124"/>
      <c r="AH21" s="124" t="s">
        <v>394</v>
      </c>
      <c r="AI21" s="124" t="s">
        <v>395</v>
      </c>
      <c r="AJ21" s="124"/>
      <c r="AK21" s="124"/>
      <c r="AL21" s="124"/>
      <c r="AM21" s="124"/>
      <c r="AN21" s="124"/>
      <c r="AO21" s="124"/>
      <c r="AP21" s="124"/>
      <c r="AQ21" s="124"/>
      <c r="AR21" s="124"/>
      <c r="AS21" s="124"/>
      <c r="AT21" s="124"/>
      <c r="AU21" s="124"/>
      <c r="AV21" s="124"/>
      <c r="AW21" s="124" t="s">
        <v>396</v>
      </c>
      <c r="AX21" s="124"/>
      <c r="AY21" s="124"/>
      <c r="AZ21" s="124"/>
      <c r="BA21" s="124"/>
      <c r="BB21" s="124"/>
      <c r="BC21" s="124" t="s">
        <v>397</v>
      </c>
      <c r="BD21" s="124"/>
      <c r="BE21" s="124"/>
      <c r="BF21" s="124"/>
      <c r="BG21" s="124"/>
      <c r="BH21" s="124"/>
      <c r="BI21" s="124"/>
      <c r="BJ21" s="124"/>
      <c r="BK21" s="124"/>
      <c r="BL21" s="124"/>
      <c r="BM21" s="124"/>
      <c r="BN21" s="124"/>
      <c r="BO21" s="124"/>
      <c r="BP21" s="124"/>
      <c r="BQ21" s="124"/>
      <c r="BR21" s="124"/>
      <c r="BS21" s="124"/>
      <c r="BT21" s="124"/>
      <c r="BU21" s="124"/>
      <c r="BV21" s="68"/>
      <c r="BW21" s="68"/>
      <c r="BX21" s="68"/>
      <c r="BY21" s="68"/>
      <c r="BZ21" s="68"/>
      <c r="CA21" s="68"/>
      <c r="CB21" s="68"/>
      <c r="CC21" s="68"/>
      <c r="CD21" s="68"/>
      <c r="CE21" s="68"/>
      <c r="CF21" s="68"/>
      <c r="CG21" s="68"/>
      <c r="CH21" s="68"/>
      <c r="CI21" s="68"/>
      <c r="CJ21" s="68"/>
      <c r="CK21" s="68"/>
      <c r="CL21" s="124"/>
      <c r="CM21" s="107"/>
    </row>
    <row r="23" spans="1:91" ht="15">
      <c r="A23" s="127" t="s">
        <v>398</v>
      </c>
    </row>
    <row r="24" spans="1:91">
      <c r="A24" s="127" t="s">
        <v>399</v>
      </c>
    </row>
    <row r="25" spans="1:91" ht="43.15">
      <c r="A25" s="127" t="s">
        <v>400</v>
      </c>
    </row>
    <row r="26" spans="1:91" ht="15"/>
    <row r="27" spans="1:91" ht="15"/>
    <row r="28" spans="1:91" ht="15"/>
  </sheetData>
  <autoFilter ref="A2:CO2" xr:uid="{00000000-0009-0000-0000-000000000000}"/>
  <mergeCells count="5">
    <mergeCell ref="BJ1:BU1"/>
    <mergeCell ref="B1:F1"/>
    <mergeCell ref="H1:AB1"/>
    <mergeCell ref="AC1:AK1"/>
    <mergeCell ref="AL1:BI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69"/>
  <sheetViews>
    <sheetView workbookViewId="0">
      <selection activeCell="E3" sqref="E3"/>
    </sheetView>
  </sheetViews>
  <sheetFormatPr defaultColWidth="9.140625" defaultRowHeight="14.45"/>
  <cols>
    <col min="1" max="1" width="13.42578125" style="96" customWidth="1"/>
    <col min="2" max="2" width="12.28515625" style="97" customWidth="1"/>
    <col min="3" max="3" width="30" style="97" customWidth="1"/>
    <col min="4" max="5" width="18.28515625" style="97" customWidth="1"/>
    <col min="6" max="7" width="9.140625" style="97"/>
    <col min="8" max="8" width="12.28515625" style="97" customWidth="1"/>
    <col min="9" max="15" width="9.140625" style="97"/>
    <col min="16" max="16" width="4.5703125" style="97" customWidth="1"/>
    <col min="17" max="20" width="9.140625" style="96"/>
    <col min="21" max="16384" width="9.140625" style="97"/>
  </cols>
  <sheetData>
    <row r="1" spans="1:21" s="86" customFormat="1" ht="27" customHeight="1">
      <c r="A1" s="161" t="s">
        <v>401</v>
      </c>
      <c r="B1" s="162"/>
      <c r="C1" s="162"/>
      <c r="D1" s="162"/>
      <c r="E1" s="163"/>
      <c r="F1" s="167" t="s">
        <v>402</v>
      </c>
      <c r="G1" s="168"/>
      <c r="H1" s="168"/>
      <c r="I1" s="168"/>
      <c r="J1" s="168"/>
      <c r="K1" s="168"/>
      <c r="L1" s="168"/>
      <c r="M1" s="168"/>
      <c r="N1" s="168"/>
      <c r="O1" s="169"/>
      <c r="P1" s="85"/>
      <c r="Q1" s="164" t="s">
        <v>403</v>
      </c>
      <c r="R1" s="165"/>
      <c r="S1" s="165"/>
      <c r="T1" s="166"/>
    </row>
    <row r="2" spans="1:21" s="87" customFormat="1" ht="28.9">
      <c r="A2" s="87" t="s">
        <v>0</v>
      </c>
      <c r="B2" s="88" t="s">
        <v>7</v>
      </c>
      <c r="C2" s="89" t="s">
        <v>404</v>
      </c>
      <c r="D2" s="90" t="s">
        <v>399</v>
      </c>
      <c r="E2" s="90"/>
      <c r="F2" s="100" t="s">
        <v>171</v>
      </c>
      <c r="G2" s="100" t="s">
        <v>187</v>
      </c>
      <c r="H2" s="100" t="s">
        <v>201</v>
      </c>
      <c r="I2" s="100" t="s">
        <v>236</v>
      </c>
      <c r="J2" s="100" t="s">
        <v>252</v>
      </c>
      <c r="K2" s="100" t="s">
        <v>272</v>
      </c>
      <c r="L2" s="100" t="s">
        <v>287</v>
      </c>
      <c r="M2" s="100" t="s">
        <v>308</v>
      </c>
      <c r="N2" s="100" t="s">
        <v>208</v>
      </c>
      <c r="O2" s="101" t="s">
        <v>405</v>
      </c>
      <c r="P2" s="91"/>
      <c r="Q2" s="96" t="s">
        <v>344</v>
      </c>
      <c r="R2" s="96" t="s">
        <v>354</v>
      </c>
      <c r="S2" s="96" t="s">
        <v>354</v>
      </c>
      <c r="T2" s="101" t="s">
        <v>405</v>
      </c>
    </row>
    <row r="3" spans="1:21" ht="69" customHeight="1">
      <c r="A3" s="170" t="s">
        <v>1</v>
      </c>
      <c r="B3" s="88" t="s">
        <v>8</v>
      </c>
      <c r="C3" s="89" t="s">
        <v>95</v>
      </c>
      <c r="D3" s="92" t="s">
        <v>387</v>
      </c>
      <c r="E3" s="92"/>
      <c r="F3" s="92" t="s">
        <v>172</v>
      </c>
      <c r="G3" s="92"/>
      <c r="H3" s="92" t="s">
        <v>202</v>
      </c>
      <c r="I3" s="92"/>
      <c r="J3" s="92"/>
      <c r="K3" s="92"/>
      <c r="L3" s="92" t="s">
        <v>288</v>
      </c>
      <c r="M3" s="92"/>
      <c r="N3" s="92"/>
      <c r="O3" s="92"/>
      <c r="P3" s="92"/>
      <c r="Q3" s="92" t="s">
        <v>345</v>
      </c>
      <c r="R3" s="92"/>
      <c r="S3" s="92"/>
      <c r="T3" s="92"/>
      <c r="U3" s="92"/>
    </row>
    <row r="4" spans="1:21" ht="62.25" customHeight="1">
      <c r="A4" s="170"/>
      <c r="B4" s="88" t="s">
        <v>9</v>
      </c>
      <c r="C4" s="89" t="s">
        <v>96</v>
      </c>
      <c r="D4" s="92" t="s">
        <v>387</v>
      </c>
      <c r="E4" s="92"/>
      <c r="F4" s="92" t="s">
        <v>172</v>
      </c>
      <c r="G4" s="92"/>
      <c r="H4" s="92" t="s">
        <v>203</v>
      </c>
      <c r="I4" s="92" t="s">
        <v>237</v>
      </c>
      <c r="J4" s="92" t="s">
        <v>253</v>
      </c>
      <c r="K4" s="92" t="s">
        <v>273</v>
      </c>
      <c r="L4" s="92"/>
      <c r="M4" s="92"/>
      <c r="N4" s="92"/>
      <c r="O4" s="92"/>
      <c r="P4" s="92"/>
      <c r="Q4" s="92"/>
      <c r="R4" s="92" t="s">
        <v>355</v>
      </c>
      <c r="S4" s="92" t="s">
        <v>355</v>
      </c>
      <c r="T4" s="92"/>
      <c r="U4" s="92"/>
    </row>
    <row r="5" spans="1:21" ht="21.6">
      <c r="A5" s="170"/>
      <c r="B5" s="88" t="s">
        <v>10</v>
      </c>
      <c r="C5" s="89" t="s">
        <v>97</v>
      </c>
      <c r="D5" s="92"/>
      <c r="E5" s="92"/>
      <c r="F5" s="92"/>
      <c r="G5" s="92"/>
      <c r="H5" s="92" t="s">
        <v>204</v>
      </c>
      <c r="I5" s="92"/>
      <c r="J5" s="92"/>
      <c r="K5" s="92"/>
      <c r="L5" s="92" t="s">
        <v>10</v>
      </c>
      <c r="M5" s="92"/>
      <c r="N5" s="92" t="s">
        <v>324</v>
      </c>
      <c r="O5" s="92"/>
      <c r="P5" s="92"/>
      <c r="Q5" s="92" t="s">
        <v>346</v>
      </c>
      <c r="R5" s="92" t="s">
        <v>356</v>
      </c>
      <c r="S5" s="92" t="s">
        <v>356</v>
      </c>
      <c r="T5" s="92"/>
      <c r="U5" s="92"/>
    </row>
    <row r="6" spans="1:21" ht="21.6">
      <c r="A6" s="170"/>
      <c r="B6" s="88" t="s">
        <v>11</v>
      </c>
      <c r="C6" s="89" t="s">
        <v>98</v>
      </c>
      <c r="D6" s="92"/>
      <c r="E6" s="92"/>
      <c r="F6" s="92"/>
      <c r="G6" s="92"/>
      <c r="H6" s="92" t="s">
        <v>11</v>
      </c>
      <c r="I6" s="92"/>
      <c r="J6" s="92"/>
      <c r="K6" s="92"/>
      <c r="L6" s="92" t="s">
        <v>11</v>
      </c>
      <c r="M6" s="92"/>
      <c r="N6" s="92" t="s">
        <v>325</v>
      </c>
      <c r="O6" s="92"/>
      <c r="P6" s="92"/>
      <c r="Q6" s="92">
        <v>46.142674</v>
      </c>
      <c r="R6" s="92">
        <v>45.189839999999997</v>
      </c>
      <c r="S6" s="92">
        <v>45.189839999999997</v>
      </c>
      <c r="T6" s="92"/>
      <c r="U6" s="92"/>
    </row>
    <row r="7" spans="1:21" ht="21.6">
      <c r="A7" s="170"/>
      <c r="B7" s="88" t="s">
        <v>12</v>
      </c>
      <c r="C7" s="89" t="s">
        <v>99</v>
      </c>
      <c r="D7" s="92"/>
      <c r="E7" s="92"/>
      <c r="F7" s="92"/>
      <c r="G7" s="92"/>
      <c r="H7" s="92" t="s">
        <v>12</v>
      </c>
      <c r="I7" s="92"/>
      <c r="J7" s="92"/>
      <c r="K7" s="92"/>
      <c r="L7" s="92" t="s">
        <v>12</v>
      </c>
      <c r="M7" s="92"/>
      <c r="N7" s="92" t="s">
        <v>326</v>
      </c>
      <c r="O7" s="92"/>
      <c r="P7" s="92"/>
      <c r="Q7" s="92">
        <v>-115.598088</v>
      </c>
      <c r="R7" s="92">
        <v>-117.82756000000001</v>
      </c>
      <c r="S7" s="92">
        <v>-117.82756000000001</v>
      </c>
      <c r="T7" s="92"/>
      <c r="U7" s="92"/>
    </row>
    <row r="8" spans="1:21">
      <c r="A8" s="143"/>
      <c r="B8" s="88" t="s">
        <v>13</v>
      </c>
      <c r="C8" s="89" t="s">
        <v>100</v>
      </c>
      <c r="D8" s="92"/>
      <c r="E8" s="92"/>
      <c r="F8" s="92"/>
      <c r="G8" s="92"/>
      <c r="H8" s="92" t="s">
        <v>205</v>
      </c>
      <c r="I8" s="92"/>
      <c r="J8" s="92"/>
      <c r="K8" s="92"/>
      <c r="L8" s="92"/>
      <c r="M8" s="92"/>
      <c r="N8" s="92" t="s">
        <v>200</v>
      </c>
      <c r="O8" s="92"/>
      <c r="P8" s="92"/>
      <c r="Q8" s="92"/>
      <c r="R8" s="92" t="s">
        <v>357</v>
      </c>
      <c r="S8" s="92" t="s">
        <v>357</v>
      </c>
      <c r="T8" s="92"/>
      <c r="U8" s="92"/>
    </row>
    <row r="9" spans="1:21" ht="82.9">
      <c r="A9" s="171" t="s">
        <v>2</v>
      </c>
      <c r="B9" s="88" t="s">
        <v>14</v>
      </c>
      <c r="C9" s="89" t="s">
        <v>406</v>
      </c>
      <c r="D9" s="92" t="s">
        <v>388</v>
      </c>
      <c r="E9" s="92"/>
      <c r="F9" s="92" t="s">
        <v>173</v>
      </c>
      <c r="G9" s="92"/>
      <c r="H9" s="92" t="s">
        <v>206</v>
      </c>
      <c r="I9" s="92" t="s">
        <v>238</v>
      </c>
      <c r="J9" s="92" t="s">
        <v>254</v>
      </c>
      <c r="K9" s="92"/>
      <c r="L9" s="92" t="s">
        <v>289</v>
      </c>
      <c r="M9" s="92" t="s">
        <v>309</v>
      </c>
      <c r="N9" s="92" t="s">
        <v>254</v>
      </c>
      <c r="O9" s="92"/>
      <c r="P9" s="92"/>
      <c r="Q9" s="92" t="s">
        <v>347</v>
      </c>
      <c r="R9" s="92" t="s">
        <v>358</v>
      </c>
      <c r="S9" s="92" t="s">
        <v>377</v>
      </c>
      <c r="T9" s="92"/>
      <c r="U9" s="92"/>
    </row>
    <row r="10" spans="1:21" ht="57.6">
      <c r="A10" s="171"/>
      <c r="B10" s="98" t="s">
        <v>15</v>
      </c>
      <c r="C10" s="89" t="s">
        <v>102</v>
      </c>
      <c r="D10" s="92" t="s">
        <v>389</v>
      </c>
      <c r="E10" s="92"/>
      <c r="F10" s="92" t="s">
        <v>174</v>
      </c>
      <c r="G10" s="92"/>
      <c r="H10" s="92" t="s">
        <v>207</v>
      </c>
      <c r="I10" s="92" t="s">
        <v>208</v>
      </c>
      <c r="J10" s="92" t="s">
        <v>255</v>
      </c>
      <c r="K10" s="92" t="s">
        <v>274</v>
      </c>
      <c r="L10" s="92" t="s">
        <v>207</v>
      </c>
      <c r="M10" s="92"/>
      <c r="N10" s="92" t="s">
        <v>207</v>
      </c>
      <c r="O10" s="92"/>
      <c r="P10" s="92"/>
      <c r="Q10" s="92" t="s">
        <v>348</v>
      </c>
      <c r="R10" s="92" t="s">
        <v>359</v>
      </c>
      <c r="S10" s="92" t="s">
        <v>378</v>
      </c>
      <c r="T10" s="92"/>
      <c r="U10" s="92"/>
    </row>
    <row r="11" spans="1:21" ht="42">
      <c r="A11" s="171"/>
      <c r="B11" s="98" t="s">
        <v>16</v>
      </c>
      <c r="C11" s="89" t="s">
        <v>103</v>
      </c>
      <c r="D11" s="92"/>
      <c r="E11" s="92"/>
      <c r="F11" s="92"/>
      <c r="G11" s="92"/>
      <c r="H11" s="92" t="s">
        <v>208</v>
      </c>
      <c r="I11" s="92" t="s">
        <v>208</v>
      </c>
      <c r="J11" s="92" t="s">
        <v>256</v>
      </c>
      <c r="K11" s="92"/>
      <c r="L11" s="92" t="s">
        <v>290</v>
      </c>
      <c r="M11" s="92"/>
      <c r="N11" s="92" t="s">
        <v>256</v>
      </c>
      <c r="O11" s="92"/>
      <c r="P11" s="92"/>
      <c r="Q11" s="92" t="s">
        <v>349</v>
      </c>
      <c r="R11" s="92" t="s">
        <v>360</v>
      </c>
      <c r="S11" s="92" t="s">
        <v>360</v>
      </c>
      <c r="T11" s="92"/>
      <c r="U11" s="92"/>
    </row>
    <row r="12" spans="1:21" ht="43.15">
      <c r="A12" s="171"/>
      <c r="B12" s="88" t="s">
        <v>17</v>
      </c>
      <c r="C12" s="89" t="s">
        <v>104</v>
      </c>
      <c r="D12" s="92" t="s">
        <v>390</v>
      </c>
      <c r="E12" s="92"/>
      <c r="F12" s="92" t="s">
        <v>175</v>
      </c>
      <c r="G12" s="92"/>
      <c r="H12" s="92" t="s">
        <v>209</v>
      </c>
      <c r="I12" s="92" t="s">
        <v>239</v>
      </c>
      <c r="J12" s="92" t="s">
        <v>257</v>
      </c>
      <c r="K12" s="92" t="s">
        <v>275</v>
      </c>
      <c r="L12" s="92" t="s">
        <v>291</v>
      </c>
      <c r="M12" s="92" t="s">
        <v>310</v>
      </c>
      <c r="N12" s="92" t="s">
        <v>327</v>
      </c>
      <c r="O12" s="92"/>
      <c r="P12" s="92"/>
      <c r="Q12" s="92">
        <v>42824.370138888888</v>
      </c>
      <c r="R12" s="92">
        <v>44468</v>
      </c>
      <c r="S12" s="92">
        <v>44469</v>
      </c>
      <c r="T12" s="92"/>
      <c r="U12" s="92"/>
    </row>
    <row r="13" spans="1:21" ht="42">
      <c r="A13" s="171"/>
      <c r="B13" s="88" t="s">
        <v>18</v>
      </c>
      <c r="C13" s="89" t="s">
        <v>105</v>
      </c>
      <c r="D13" s="92" t="s">
        <v>391</v>
      </c>
      <c r="E13" s="92"/>
      <c r="F13" s="92" t="s">
        <v>176</v>
      </c>
      <c r="G13" s="92"/>
      <c r="H13" s="92" t="s">
        <v>210</v>
      </c>
      <c r="I13" s="92" t="s">
        <v>210</v>
      </c>
      <c r="J13" s="92" t="s">
        <v>210</v>
      </c>
      <c r="K13" s="92" t="s">
        <v>176</v>
      </c>
      <c r="L13" s="92"/>
      <c r="M13" s="92" t="s">
        <v>311</v>
      </c>
      <c r="N13" s="92" t="s">
        <v>202</v>
      </c>
      <c r="O13" s="92"/>
      <c r="P13" s="92"/>
      <c r="Q13" s="92"/>
      <c r="R13" s="92">
        <v>44467.409722222219</v>
      </c>
      <c r="S13" s="92" t="s">
        <v>379</v>
      </c>
      <c r="T13" s="92"/>
      <c r="U13" s="92"/>
    </row>
    <row r="14" spans="1:21" ht="42">
      <c r="A14" s="171"/>
      <c r="B14" s="88" t="s">
        <v>19</v>
      </c>
      <c r="C14" s="89" t="s">
        <v>106</v>
      </c>
      <c r="D14" s="92" t="s">
        <v>391</v>
      </c>
      <c r="E14" s="92"/>
      <c r="F14" s="92"/>
      <c r="G14" s="92"/>
      <c r="H14" s="92" t="s">
        <v>211</v>
      </c>
      <c r="I14" s="92" t="s">
        <v>240</v>
      </c>
      <c r="J14" s="92" t="s">
        <v>258</v>
      </c>
      <c r="K14" s="92"/>
      <c r="L14" s="92"/>
      <c r="M14" s="92" t="s">
        <v>312</v>
      </c>
      <c r="N14" s="92" t="s">
        <v>202</v>
      </c>
      <c r="O14" s="92"/>
      <c r="P14" s="92"/>
      <c r="Q14" s="92"/>
      <c r="R14" s="92" t="s">
        <v>361</v>
      </c>
      <c r="S14" s="92" t="s">
        <v>380</v>
      </c>
      <c r="T14" s="92"/>
      <c r="U14" s="92"/>
    </row>
    <row r="15" spans="1:21" ht="28.9">
      <c r="A15" s="171"/>
      <c r="B15" s="88" t="s">
        <v>20</v>
      </c>
      <c r="C15" s="89" t="s">
        <v>107</v>
      </c>
      <c r="D15" s="92"/>
      <c r="E15" s="92"/>
      <c r="F15" s="92"/>
      <c r="G15" s="92"/>
      <c r="H15" s="92" t="s">
        <v>212</v>
      </c>
      <c r="I15" s="92" t="s">
        <v>212</v>
      </c>
      <c r="J15" s="92" t="s">
        <v>212</v>
      </c>
      <c r="K15" s="92"/>
      <c r="L15" s="92" t="s">
        <v>292</v>
      </c>
      <c r="M15" s="92" t="s">
        <v>212</v>
      </c>
      <c r="N15" s="92" t="s">
        <v>212</v>
      </c>
      <c r="O15" s="92"/>
      <c r="P15" s="92"/>
      <c r="Q15" s="92">
        <v>2017</v>
      </c>
      <c r="R15" s="92">
        <v>2021</v>
      </c>
      <c r="S15" s="92">
        <v>2021</v>
      </c>
      <c r="T15" s="92"/>
      <c r="U15" s="92"/>
    </row>
    <row r="16" spans="1:21" ht="72.599999999999994">
      <c r="A16" s="171"/>
      <c r="B16" s="88" t="s">
        <v>21</v>
      </c>
      <c r="C16" s="89" t="s">
        <v>108</v>
      </c>
      <c r="D16" s="92"/>
      <c r="E16" s="92"/>
      <c r="F16" s="92" t="s">
        <v>177</v>
      </c>
      <c r="G16" s="92" t="s">
        <v>188</v>
      </c>
      <c r="H16" s="92" t="s">
        <v>213</v>
      </c>
      <c r="I16" s="92" t="s">
        <v>241</v>
      </c>
      <c r="J16" s="92" t="s">
        <v>259</v>
      </c>
      <c r="K16" s="92" t="s">
        <v>276</v>
      </c>
      <c r="L16" s="92" t="s">
        <v>293</v>
      </c>
      <c r="M16" s="92" t="s">
        <v>313</v>
      </c>
      <c r="N16" s="92" t="s">
        <v>328</v>
      </c>
      <c r="O16" s="92"/>
      <c r="P16" s="92"/>
      <c r="Q16" s="92"/>
      <c r="R16" s="92" t="s">
        <v>362</v>
      </c>
      <c r="S16" s="92"/>
      <c r="T16" s="92"/>
      <c r="U16" s="92"/>
    </row>
    <row r="17" spans="1:21" ht="31.9">
      <c r="A17" s="171"/>
      <c r="B17" s="88" t="s">
        <v>22</v>
      </c>
      <c r="C17" s="89" t="s">
        <v>109</v>
      </c>
      <c r="D17" s="92" t="s">
        <v>392</v>
      </c>
      <c r="E17" s="92"/>
      <c r="F17" s="92"/>
      <c r="G17" s="92"/>
      <c r="H17" s="92" t="s">
        <v>214</v>
      </c>
      <c r="I17" s="92" t="s">
        <v>208</v>
      </c>
      <c r="J17" s="92" t="s">
        <v>260</v>
      </c>
      <c r="K17" s="92"/>
      <c r="L17" s="92" t="s">
        <v>294</v>
      </c>
      <c r="M17" s="92"/>
      <c r="N17" s="92" t="s">
        <v>260</v>
      </c>
      <c r="O17" s="92"/>
      <c r="P17" s="92"/>
      <c r="Q17" s="92" t="s">
        <v>350</v>
      </c>
      <c r="R17" s="92" t="s">
        <v>350</v>
      </c>
      <c r="S17" s="92" t="s">
        <v>350</v>
      </c>
      <c r="T17" s="92"/>
      <c r="U17" s="92"/>
    </row>
    <row r="18" spans="1:21" ht="28.9">
      <c r="A18" s="171"/>
      <c r="B18" s="88" t="s">
        <v>24</v>
      </c>
      <c r="C18" s="89" t="s">
        <v>111</v>
      </c>
      <c r="D18" s="92"/>
      <c r="E18" s="92"/>
      <c r="F18" s="92"/>
      <c r="G18" s="92"/>
      <c r="H18" s="92" t="s">
        <v>215</v>
      </c>
      <c r="I18" s="92"/>
      <c r="J18" s="92" t="s">
        <v>24</v>
      </c>
      <c r="K18" s="92"/>
      <c r="L18" s="92" t="s">
        <v>295</v>
      </c>
      <c r="M18" s="92"/>
      <c r="N18" s="92" t="s">
        <v>24</v>
      </c>
      <c r="O18" s="92"/>
      <c r="P18" s="92"/>
      <c r="Q18" s="92">
        <v>2017</v>
      </c>
      <c r="R18" s="92">
        <v>2022</v>
      </c>
      <c r="S18" s="92">
        <v>2022</v>
      </c>
      <c r="T18" s="92"/>
      <c r="U18" s="92"/>
    </row>
    <row r="19" spans="1:21" ht="31.9">
      <c r="A19" s="171"/>
      <c r="B19" s="88" t="s">
        <v>25</v>
      </c>
      <c r="C19" s="89" t="s">
        <v>112</v>
      </c>
      <c r="D19" s="92"/>
      <c r="E19" s="92"/>
      <c r="F19" s="92" t="s">
        <v>178</v>
      </c>
      <c r="G19" s="92"/>
      <c r="H19" s="92" t="s">
        <v>216</v>
      </c>
      <c r="I19" s="92" t="s">
        <v>242</v>
      </c>
      <c r="J19" s="92" t="s">
        <v>261</v>
      </c>
      <c r="K19" s="92" t="s">
        <v>277</v>
      </c>
      <c r="L19" s="92"/>
      <c r="M19" s="92" t="s">
        <v>314</v>
      </c>
      <c r="N19" s="92" t="s">
        <v>202</v>
      </c>
      <c r="O19" s="92"/>
      <c r="P19" s="92"/>
      <c r="Q19" s="92"/>
      <c r="R19" s="92" t="s">
        <v>363</v>
      </c>
      <c r="S19" s="92" t="s">
        <v>381</v>
      </c>
      <c r="T19" s="92"/>
      <c r="U19" s="92"/>
    </row>
    <row r="20" spans="1:21" ht="21.6">
      <c r="A20" s="171"/>
      <c r="B20" s="88" t="s">
        <v>26</v>
      </c>
      <c r="C20" s="89" t="s">
        <v>113</v>
      </c>
      <c r="D20" s="92"/>
      <c r="E20" s="92"/>
      <c r="F20" s="92"/>
      <c r="G20" s="92"/>
      <c r="H20" s="92" t="s">
        <v>217</v>
      </c>
      <c r="I20" s="92" t="s">
        <v>243</v>
      </c>
      <c r="J20" s="92" t="s">
        <v>262</v>
      </c>
      <c r="K20" s="92" t="s">
        <v>278</v>
      </c>
      <c r="L20" s="92" t="s">
        <v>26</v>
      </c>
      <c r="M20" s="92" t="s">
        <v>315</v>
      </c>
      <c r="N20" s="92" t="s">
        <v>202</v>
      </c>
      <c r="O20" s="92"/>
      <c r="P20" s="92"/>
      <c r="Q20" s="92">
        <v>12</v>
      </c>
      <c r="R20" s="92">
        <v>3.11</v>
      </c>
      <c r="S20" s="92">
        <v>3.03</v>
      </c>
      <c r="T20" s="92"/>
      <c r="U20" s="92"/>
    </row>
    <row r="21" spans="1:21" ht="21.6">
      <c r="A21" s="171"/>
      <c r="B21" s="88" t="s">
        <v>27</v>
      </c>
      <c r="C21" s="89" t="s">
        <v>114</v>
      </c>
      <c r="D21" s="92"/>
      <c r="E21" s="92"/>
      <c r="F21" s="92"/>
      <c r="G21" s="92"/>
      <c r="H21" s="92" t="s">
        <v>27</v>
      </c>
      <c r="I21" s="92"/>
      <c r="J21" s="92"/>
      <c r="K21" s="92"/>
      <c r="L21" s="92"/>
      <c r="M21" s="92"/>
      <c r="N21" s="92" t="s">
        <v>202</v>
      </c>
      <c r="O21" s="92"/>
      <c r="P21" s="92"/>
      <c r="Q21" s="92"/>
      <c r="R21" s="92">
        <v>3083</v>
      </c>
      <c r="S21" s="92">
        <v>4049</v>
      </c>
      <c r="T21" s="92"/>
      <c r="U21" s="92"/>
    </row>
    <row r="22" spans="1:21" ht="21.6">
      <c r="A22" s="171"/>
      <c r="B22" s="88" t="s">
        <v>28</v>
      </c>
      <c r="C22" s="89" t="s">
        <v>115</v>
      </c>
      <c r="D22" s="92"/>
      <c r="E22" s="92"/>
      <c r="F22" s="92"/>
      <c r="G22" s="92"/>
      <c r="H22" s="92" t="s">
        <v>218</v>
      </c>
      <c r="I22" s="92"/>
      <c r="J22" s="92"/>
      <c r="K22" s="92" t="s">
        <v>279</v>
      </c>
      <c r="L22" s="92" t="s">
        <v>296</v>
      </c>
      <c r="M22" s="92" t="s">
        <v>316</v>
      </c>
      <c r="N22" s="92" t="s">
        <v>202</v>
      </c>
      <c r="O22" s="92"/>
      <c r="P22" s="92"/>
      <c r="Q22" s="92">
        <v>6.38</v>
      </c>
      <c r="R22" s="92" t="s">
        <v>364</v>
      </c>
      <c r="S22" s="92">
        <v>1.05</v>
      </c>
      <c r="T22" s="92"/>
      <c r="U22" s="92"/>
    </row>
    <row r="23" spans="1:21">
      <c r="A23" s="171"/>
      <c r="B23" s="88" t="s">
        <v>29</v>
      </c>
      <c r="C23" s="89"/>
      <c r="D23" s="92"/>
      <c r="E23" s="92"/>
      <c r="F23" s="92"/>
      <c r="G23" s="92"/>
      <c r="H23" s="92" t="s">
        <v>219</v>
      </c>
      <c r="I23" s="92"/>
      <c r="J23" s="92"/>
      <c r="K23" s="92"/>
      <c r="L23" s="92" t="s">
        <v>29</v>
      </c>
      <c r="M23" s="92" t="s">
        <v>317</v>
      </c>
      <c r="N23" s="92" t="s">
        <v>202</v>
      </c>
      <c r="O23" s="92"/>
      <c r="P23" s="92"/>
      <c r="Q23" s="92"/>
      <c r="R23" s="92"/>
      <c r="S23" s="92"/>
      <c r="T23" s="92"/>
      <c r="U23" s="92"/>
    </row>
    <row r="24" spans="1:21" ht="28.9">
      <c r="A24" s="171"/>
      <c r="B24" s="88" t="s">
        <v>30</v>
      </c>
      <c r="C24" s="89" t="s">
        <v>116</v>
      </c>
      <c r="D24" s="92"/>
      <c r="E24" s="92"/>
      <c r="F24" s="92"/>
      <c r="G24" s="92"/>
      <c r="H24" s="92" t="s">
        <v>202</v>
      </c>
      <c r="I24" s="92"/>
      <c r="J24" s="92"/>
      <c r="K24" s="92" t="s">
        <v>280</v>
      </c>
      <c r="L24" s="92"/>
      <c r="M24" s="92"/>
      <c r="N24" s="92"/>
      <c r="O24" s="92"/>
      <c r="P24" s="92"/>
      <c r="Q24" s="92"/>
      <c r="R24" s="92"/>
      <c r="S24" s="92"/>
      <c r="T24" s="92"/>
      <c r="U24" s="92"/>
    </row>
    <row r="25" spans="1:21" ht="28.9">
      <c r="A25" s="171"/>
      <c r="B25" s="88" t="s">
        <v>31</v>
      </c>
      <c r="C25" s="89" t="s">
        <v>117</v>
      </c>
      <c r="D25" s="92"/>
      <c r="E25" s="92"/>
      <c r="F25" s="92" t="s">
        <v>179</v>
      </c>
      <c r="G25" s="92"/>
      <c r="H25" s="92" t="s">
        <v>220</v>
      </c>
      <c r="I25" s="92" t="s">
        <v>244</v>
      </c>
      <c r="J25" s="92" t="s">
        <v>263</v>
      </c>
      <c r="K25" s="92" t="s">
        <v>31</v>
      </c>
      <c r="L25" s="92"/>
      <c r="M25" s="92" t="s">
        <v>318</v>
      </c>
      <c r="N25" s="92" t="s">
        <v>329</v>
      </c>
      <c r="O25" s="92"/>
      <c r="P25" s="92"/>
      <c r="Q25" s="92"/>
      <c r="R25" s="92">
        <v>10.5</v>
      </c>
      <c r="S25" s="92">
        <v>7.5</v>
      </c>
      <c r="T25" s="92"/>
      <c r="U25" s="92"/>
    </row>
    <row r="26" spans="1:21">
      <c r="A26" s="171"/>
      <c r="B26" s="88" t="s">
        <v>32</v>
      </c>
      <c r="C26" s="89"/>
      <c r="D26" s="92"/>
      <c r="E26" s="92"/>
      <c r="F26" s="92"/>
      <c r="G26" s="92"/>
      <c r="H26" s="92" t="s">
        <v>202</v>
      </c>
      <c r="I26" s="92"/>
      <c r="J26" s="92"/>
      <c r="K26" s="92" t="s">
        <v>32</v>
      </c>
      <c r="L26" s="92" t="s">
        <v>297</v>
      </c>
      <c r="M26" s="92"/>
      <c r="N26" s="92" t="s">
        <v>202</v>
      </c>
      <c r="O26" s="92"/>
      <c r="P26" s="92"/>
      <c r="Q26" s="92"/>
      <c r="R26" s="92"/>
      <c r="S26" s="92"/>
      <c r="T26" s="92"/>
      <c r="U26" s="92"/>
    </row>
    <row r="27" spans="1:21" ht="28.9">
      <c r="A27" s="171"/>
      <c r="B27" s="88" t="s">
        <v>33</v>
      </c>
      <c r="C27" s="89"/>
      <c r="D27" s="92"/>
      <c r="E27" s="92"/>
      <c r="F27" s="92"/>
      <c r="G27" s="92"/>
      <c r="H27" s="92" t="s">
        <v>202</v>
      </c>
      <c r="I27" s="92"/>
      <c r="J27" s="92"/>
      <c r="K27" s="92" t="s">
        <v>33</v>
      </c>
      <c r="L27" s="92" t="s">
        <v>297</v>
      </c>
      <c r="M27" s="92"/>
      <c r="N27" s="92" t="s">
        <v>202</v>
      </c>
      <c r="O27" s="92"/>
      <c r="P27" s="92"/>
      <c r="Q27" s="92"/>
      <c r="R27" s="92"/>
      <c r="S27" s="92"/>
      <c r="T27" s="92"/>
      <c r="U27" s="92"/>
    </row>
    <row r="28" spans="1:21" ht="31.9">
      <c r="A28" s="171"/>
      <c r="B28" s="88" t="s">
        <v>34</v>
      </c>
      <c r="C28" s="89" t="s">
        <v>118</v>
      </c>
      <c r="D28" s="92"/>
      <c r="E28" s="92"/>
      <c r="F28" s="92"/>
      <c r="G28" s="92"/>
      <c r="H28" s="92" t="s">
        <v>212</v>
      </c>
      <c r="I28" s="92" t="s">
        <v>212</v>
      </c>
      <c r="J28" s="92" t="s">
        <v>212</v>
      </c>
      <c r="K28" s="92" t="s">
        <v>281</v>
      </c>
      <c r="L28" s="92"/>
      <c r="M28" s="92" t="s">
        <v>212</v>
      </c>
      <c r="N28" s="92" t="s">
        <v>202</v>
      </c>
      <c r="O28" s="92"/>
      <c r="P28" s="92"/>
      <c r="Q28" s="92"/>
      <c r="R28" s="92" t="s">
        <v>365</v>
      </c>
      <c r="S28" s="92" t="s">
        <v>365</v>
      </c>
      <c r="T28" s="92"/>
      <c r="U28" s="92"/>
    </row>
    <row r="29" spans="1:21" ht="21.6">
      <c r="A29" s="158" t="s">
        <v>3</v>
      </c>
      <c r="B29" s="88" t="s">
        <v>35</v>
      </c>
      <c r="C29" s="89" t="s">
        <v>119</v>
      </c>
      <c r="D29" s="92"/>
      <c r="E29" s="92"/>
      <c r="F29" s="92"/>
      <c r="G29" s="92"/>
      <c r="H29" s="92" t="s">
        <v>35</v>
      </c>
      <c r="I29" s="92" t="s">
        <v>35</v>
      </c>
      <c r="J29" s="92" t="s">
        <v>264</v>
      </c>
      <c r="K29" s="92"/>
      <c r="L29" s="92" t="s">
        <v>298</v>
      </c>
      <c r="M29" s="92" t="s">
        <v>319</v>
      </c>
      <c r="N29" s="92" t="s">
        <v>202</v>
      </c>
      <c r="O29" s="92"/>
      <c r="P29" s="92"/>
      <c r="Q29" s="92"/>
      <c r="R29" s="92" t="s">
        <v>366</v>
      </c>
      <c r="S29" s="92" t="s">
        <v>382</v>
      </c>
      <c r="T29" s="92"/>
      <c r="U29" s="92"/>
    </row>
    <row r="30" spans="1:21" ht="21.6">
      <c r="A30" s="158"/>
      <c r="B30" s="88" t="s">
        <v>36</v>
      </c>
      <c r="C30" s="89" t="s">
        <v>120</v>
      </c>
      <c r="D30" s="92" t="s">
        <v>393</v>
      </c>
      <c r="E30" s="92"/>
      <c r="F30" s="92"/>
      <c r="G30" s="92"/>
      <c r="H30" s="92" t="s">
        <v>212</v>
      </c>
      <c r="I30" s="92" t="s">
        <v>245</v>
      </c>
      <c r="J30" s="92"/>
      <c r="K30" s="92"/>
      <c r="L30" s="92"/>
      <c r="M30" s="92"/>
      <c r="N30" s="92" t="s">
        <v>202</v>
      </c>
      <c r="O30" s="92"/>
      <c r="P30" s="92"/>
      <c r="Q30" s="92"/>
      <c r="R30" s="92"/>
      <c r="S30" s="92"/>
      <c r="T30" s="92"/>
      <c r="U30" s="92"/>
    </row>
    <row r="31" spans="1:21" ht="42">
      <c r="A31" s="158"/>
      <c r="B31" s="88" t="s">
        <v>37</v>
      </c>
      <c r="C31" s="89" t="s">
        <v>121</v>
      </c>
      <c r="D31" s="92"/>
      <c r="E31" s="92"/>
      <c r="F31" s="92"/>
      <c r="G31" s="92"/>
      <c r="H31" s="92" t="s">
        <v>221</v>
      </c>
      <c r="I31" s="92" t="s">
        <v>246</v>
      </c>
      <c r="J31" s="92"/>
      <c r="K31" s="92"/>
      <c r="L31" s="92" t="s">
        <v>297</v>
      </c>
      <c r="M31" s="92"/>
      <c r="N31" s="92" t="s">
        <v>202</v>
      </c>
      <c r="O31" s="92"/>
      <c r="P31" s="92"/>
      <c r="Q31" s="92"/>
      <c r="R31" s="92" t="s">
        <v>367</v>
      </c>
      <c r="S31" s="92" t="s">
        <v>367</v>
      </c>
      <c r="T31" s="92"/>
      <c r="U31" s="92"/>
    </row>
    <row r="32" spans="1:21" ht="21.6">
      <c r="A32" s="158"/>
      <c r="B32" s="88" t="s">
        <v>38</v>
      </c>
      <c r="C32" s="89" t="s">
        <v>122</v>
      </c>
      <c r="D32" s="92"/>
      <c r="E32" s="92"/>
      <c r="F32" s="92"/>
      <c r="G32" s="92"/>
      <c r="H32" s="92" t="s">
        <v>222</v>
      </c>
      <c r="I32" s="92" t="s">
        <v>247</v>
      </c>
      <c r="J32" s="92" t="s">
        <v>265</v>
      </c>
      <c r="K32" s="92"/>
      <c r="L32" s="92"/>
      <c r="M32" s="92"/>
      <c r="N32" s="92" t="s">
        <v>202</v>
      </c>
      <c r="O32" s="92"/>
      <c r="P32" s="92"/>
      <c r="Q32" s="92"/>
      <c r="R32" s="92" t="s">
        <v>368</v>
      </c>
      <c r="S32" s="92" t="s">
        <v>368</v>
      </c>
      <c r="T32" s="92"/>
      <c r="U32" s="92"/>
    </row>
    <row r="33" spans="1:21" ht="30.6">
      <c r="A33" s="158"/>
      <c r="B33" s="88" t="s">
        <v>39</v>
      </c>
      <c r="C33" s="99" t="s">
        <v>123</v>
      </c>
      <c r="D33" s="92"/>
      <c r="E33" s="92"/>
      <c r="F33" s="92"/>
      <c r="G33" s="92"/>
      <c r="H33" s="92" t="s">
        <v>212</v>
      </c>
      <c r="I33" s="92" t="s">
        <v>226</v>
      </c>
      <c r="J33" s="92" t="s">
        <v>212</v>
      </c>
      <c r="K33" s="92" t="s">
        <v>282</v>
      </c>
      <c r="L33" s="92" t="s">
        <v>297</v>
      </c>
      <c r="M33" s="92" t="s">
        <v>212</v>
      </c>
      <c r="N33" s="92" t="s">
        <v>202</v>
      </c>
      <c r="O33" s="92"/>
      <c r="P33" s="92"/>
      <c r="Q33" s="92"/>
      <c r="R33" s="92">
        <v>20</v>
      </c>
      <c r="S33" s="92">
        <v>4</v>
      </c>
      <c r="T33" s="92"/>
      <c r="U33" s="92"/>
    </row>
    <row r="34" spans="1:21" ht="123.6">
      <c r="A34" s="158"/>
      <c r="B34" s="88" t="s">
        <v>40</v>
      </c>
      <c r="C34" s="99" t="s">
        <v>124</v>
      </c>
      <c r="D34" s="92" t="s">
        <v>394</v>
      </c>
      <c r="E34" s="92"/>
      <c r="F34" s="92"/>
      <c r="G34" s="92"/>
      <c r="H34" s="92" t="s">
        <v>212</v>
      </c>
      <c r="I34" s="92" t="s">
        <v>226</v>
      </c>
      <c r="J34" s="92" t="s">
        <v>212</v>
      </c>
      <c r="K34" s="92"/>
      <c r="L34" s="92"/>
      <c r="M34" s="92" t="s">
        <v>212</v>
      </c>
      <c r="N34" s="92" t="s">
        <v>202</v>
      </c>
      <c r="O34" s="92"/>
      <c r="P34" s="92"/>
      <c r="Q34" s="92"/>
      <c r="R34" s="92">
        <v>7</v>
      </c>
      <c r="S34" s="92">
        <v>0</v>
      </c>
      <c r="T34" s="92"/>
      <c r="U34" s="92"/>
    </row>
    <row r="35" spans="1:21" ht="42">
      <c r="A35" s="158"/>
      <c r="B35" s="88" t="s">
        <v>41</v>
      </c>
      <c r="C35" s="99" t="s">
        <v>125</v>
      </c>
      <c r="D35" s="92" t="s">
        <v>395</v>
      </c>
      <c r="E35" s="92"/>
      <c r="F35" s="92"/>
      <c r="G35" s="92"/>
      <c r="H35" s="92"/>
      <c r="I35" s="92"/>
      <c r="J35" s="92"/>
      <c r="K35" s="92"/>
      <c r="L35" s="92"/>
      <c r="M35" s="92"/>
      <c r="N35" s="92" t="s">
        <v>202</v>
      </c>
      <c r="O35" s="92"/>
      <c r="P35" s="92"/>
      <c r="Q35" s="92"/>
      <c r="R35" s="92">
        <v>0.26</v>
      </c>
      <c r="S35" s="92">
        <v>0.13</v>
      </c>
      <c r="T35" s="92"/>
      <c r="U35" s="92"/>
    </row>
    <row r="36" spans="1:21" ht="28.9">
      <c r="A36" s="158"/>
      <c r="B36" s="88" t="s">
        <v>42</v>
      </c>
      <c r="C36" s="89"/>
      <c r="D36" s="92"/>
      <c r="E36" s="92"/>
      <c r="F36" s="92"/>
      <c r="G36" s="92"/>
      <c r="H36" s="92"/>
      <c r="I36" s="92"/>
      <c r="J36" s="92"/>
      <c r="K36" s="92"/>
      <c r="L36" s="92" t="s">
        <v>297</v>
      </c>
      <c r="M36" s="92"/>
      <c r="N36" s="92" t="s">
        <v>202</v>
      </c>
      <c r="O36" s="92"/>
      <c r="P36" s="92"/>
      <c r="Q36" s="92"/>
      <c r="R36" s="92"/>
      <c r="S36" s="92"/>
      <c r="T36" s="92"/>
      <c r="U36" s="92"/>
    </row>
    <row r="37" spans="1:21" ht="28.9">
      <c r="A37" s="158"/>
      <c r="B37" s="88" t="s">
        <v>43</v>
      </c>
      <c r="C37" s="89"/>
      <c r="D37" s="92"/>
      <c r="E37" s="92"/>
      <c r="F37" s="92"/>
      <c r="G37" s="92"/>
      <c r="H37" s="92"/>
      <c r="I37" s="92"/>
      <c r="J37" s="92"/>
      <c r="K37" s="92"/>
      <c r="L37" s="92" t="s">
        <v>297</v>
      </c>
      <c r="M37" s="92"/>
      <c r="N37" s="92" t="s">
        <v>202</v>
      </c>
      <c r="O37" s="92"/>
      <c r="P37" s="92"/>
      <c r="Q37" s="92"/>
      <c r="R37" s="92"/>
      <c r="S37" s="92"/>
      <c r="T37" s="92"/>
      <c r="U37" s="92"/>
    </row>
    <row r="38" spans="1:21" ht="42">
      <c r="A38" s="159" t="s">
        <v>4</v>
      </c>
      <c r="B38" s="88" t="s">
        <v>407</v>
      </c>
      <c r="C38" s="89" t="s">
        <v>408</v>
      </c>
      <c r="D38" s="92"/>
      <c r="E38" s="92"/>
      <c r="F38" s="92" t="s">
        <v>180</v>
      </c>
      <c r="G38" s="92" t="s">
        <v>44</v>
      </c>
      <c r="H38" s="92" t="s">
        <v>223</v>
      </c>
      <c r="I38" s="92" t="s">
        <v>35</v>
      </c>
      <c r="J38" s="92" t="s">
        <v>409</v>
      </c>
      <c r="K38" s="92" t="s">
        <v>44</v>
      </c>
      <c r="L38" s="92" t="s">
        <v>298</v>
      </c>
      <c r="M38" s="92" t="s">
        <v>223</v>
      </c>
      <c r="N38" s="92" t="s">
        <v>410</v>
      </c>
      <c r="O38" s="92"/>
      <c r="P38" s="92"/>
      <c r="Q38" s="92" t="s">
        <v>351</v>
      </c>
      <c r="R38" s="92" t="s">
        <v>366</v>
      </c>
      <c r="S38" s="92" t="s">
        <v>366</v>
      </c>
      <c r="T38" s="92"/>
      <c r="U38" s="92"/>
    </row>
    <row r="39" spans="1:21" ht="31.9">
      <c r="A39" s="159"/>
      <c r="B39" s="88" t="s">
        <v>46</v>
      </c>
      <c r="C39" s="89"/>
      <c r="D39" s="92"/>
      <c r="E39" s="92"/>
      <c r="F39" s="92"/>
      <c r="G39" s="92"/>
      <c r="H39" s="92" t="s">
        <v>224</v>
      </c>
      <c r="I39" s="92"/>
      <c r="J39" s="92" t="s">
        <v>266</v>
      </c>
      <c r="K39" s="92"/>
      <c r="L39" s="92"/>
      <c r="M39" s="92" t="s">
        <v>224</v>
      </c>
      <c r="N39" s="92" t="s">
        <v>332</v>
      </c>
      <c r="O39" s="92"/>
      <c r="P39" s="92"/>
      <c r="Q39" s="92"/>
      <c r="R39" s="92" t="s">
        <v>369</v>
      </c>
      <c r="S39" s="92" t="s">
        <v>369</v>
      </c>
      <c r="T39" s="92"/>
      <c r="U39" s="92"/>
    </row>
    <row r="40" spans="1:21" ht="43.15">
      <c r="A40" s="159"/>
      <c r="B40" s="88" t="s">
        <v>47</v>
      </c>
      <c r="C40" s="89" t="s">
        <v>127</v>
      </c>
      <c r="D40" s="92"/>
      <c r="E40" s="92"/>
      <c r="F40" s="92"/>
      <c r="G40" s="92"/>
      <c r="H40" s="92"/>
      <c r="I40" s="92"/>
      <c r="J40" s="92"/>
      <c r="K40" s="92"/>
      <c r="L40" s="92"/>
      <c r="M40" s="92"/>
      <c r="N40" s="92"/>
      <c r="O40" s="92"/>
      <c r="P40" s="92"/>
      <c r="Q40" s="92"/>
      <c r="R40" s="92"/>
      <c r="S40" s="92"/>
      <c r="T40" s="92"/>
      <c r="U40" s="92"/>
    </row>
    <row r="41" spans="1:21" ht="31.9">
      <c r="A41" s="159"/>
      <c r="B41" s="88" t="s">
        <v>53</v>
      </c>
      <c r="C41" s="89" t="s">
        <v>133</v>
      </c>
      <c r="D41" s="92"/>
      <c r="E41" s="92"/>
      <c r="F41" s="92"/>
      <c r="G41" s="92" t="s">
        <v>189</v>
      </c>
      <c r="H41" s="92" t="s">
        <v>224</v>
      </c>
      <c r="I41" s="92" t="s">
        <v>224</v>
      </c>
      <c r="J41" s="92" t="s">
        <v>266</v>
      </c>
      <c r="K41" s="92"/>
      <c r="L41" s="92" t="s">
        <v>299</v>
      </c>
      <c r="M41" s="92" t="s">
        <v>224</v>
      </c>
      <c r="N41" s="92" t="s">
        <v>333</v>
      </c>
      <c r="O41" s="92"/>
      <c r="P41" s="92"/>
      <c r="Q41" s="92" t="s">
        <v>352</v>
      </c>
      <c r="R41" s="92" t="s">
        <v>352</v>
      </c>
      <c r="S41" s="92" t="s">
        <v>352</v>
      </c>
      <c r="T41" s="92"/>
      <c r="U41" s="92"/>
    </row>
    <row r="42" spans="1:21" ht="21.6">
      <c r="A42" s="159"/>
      <c r="B42" s="88" t="s">
        <v>54</v>
      </c>
      <c r="C42" s="89" t="s">
        <v>134</v>
      </c>
      <c r="D42" s="92"/>
      <c r="E42" s="92"/>
      <c r="F42" s="92"/>
      <c r="G42" s="92" t="s">
        <v>190</v>
      </c>
      <c r="H42" s="92" t="s">
        <v>225</v>
      </c>
      <c r="I42" s="92" t="s">
        <v>248</v>
      </c>
      <c r="J42" s="92" t="s">
        <v>267</v>
      </c>
      <c r="K42" s="92"/>
      <c r="L42" s="92" t="s">
        <v>300</v>
      </c>
      <c r="M42" s="92"/>
      <c r="N42" s="92"/>
      <c r="O42" s="92"/>
      <c r="P42" s="92"/>
      <c r="Q42" s="92"/>
      <c r="R42" s="92">
        <v>124624</v>
      </c>
      <c r="S42" s="92">
        <v>124609</v>
      </c>
      <c r="T42" s="92"/>
      <c r="U42" s="92"/>
    </row>
    <row r="43" spans="1:21" ht="42">
      <c r="A43" s="159"/>
      <c r="B43" s="88" t="s">
        <v>55</v>
      </c>
      <c r="C43" s="89" t="s">
        <v>135</v>
      </c>
      <c r="D43" s="92" t="s">
        <v>396</v>
      </c>
      <c r="E43" s="92"/>
      <c r="F43" s="92" t="s">
        <v>181</v>
      </c>
      <c r="G43" s="92"/>
      <c r="H43" s="92" t="s">
        <v>226</v>
      </c>
      <c r="I43" s="92" t="s">
        <v>226</v>
      </c>
      <c r="J43" s="92" t="s">
        <v>226</v>
      </c>
      <c r="K43" s="92"/>
      <c r="L43" s="92" t="s">
        <v>301</v>
      </c>
      <c r="M43" s="92"/>
      <c r="N43" s="92" t="s">
        <v>334</v>
      </c>
      <c r="O43" s="92"/>
      <c r="P43" s="92"/>
      <c r="Q43" s="92">
        <v>1</v>
      </c>
      <c r="R43" s="92">
        <v>1</v>
      </c>
      <c r="S43" s="92">
        <v>20</v>
      </c>
      <c r="T43" s="92"/>
      <c r="U43" s="92"/>
    </row>
    <row r="44" spans="1:21" ht="39">
      <c r="A44" s="159"/>
      <c r="B44" s="88" t="s">
        <v>56</v>
      </c>
      <c r="C44" s="99" t="s">
        <v>411</v>
      </c>
      <c r="D44" s="92"/>
      <c r="E44" s="92"/>
      <c r="F44" s="92"/>
      <c r="G44" s="92"/>
      <c r="H44" s="92" t="s">
        <v>212</v>
      </c>
      <c r="I44" s="92"/>
      <c r="J44" s="92" t="s">
        <v>56</v>
      </c>
      <c r="K44" s="92"/>
      <c r="L44" s="92" t="s">
        <v>56</v>
      </c>
      <c r="M44" s="92"/>
      <c r="N44" s="92" t="s">
        <v>335</v>
      </c>
      <c r="O44" s="92"/>
      <c r="P44" s="92"/>
      <c r="Q44" s="92">
        <v>0</v>
      </c>
      <c r="R44" s="92">
        <v>2020</v>
      </c>
      <c r="S44" s="92">
        <v>2020</v>
      </c>
      <c r="T44" s="92"/>
      <c r="U44" s="92"/>
    </row>
    <row r="45" spans="1:21">
      <c r="A45" s="159"/>
      <c r="B45" s="88" t="s">
        <v>57</v>
      </c>
      <c r="C45" s="89" t="s">
        <v>137</v>
      </c>
      <c r="D45" s="92"/>
      <c r="E45" s="92"/>
      <c r="F45" s="92"/>
      <c r="G45" s="92"/>
      <c r="H45" s="92" t="s">
        <v>227</v>
      </c>
      <c r="I45" s="92"/>
      <c r="J45" s="92" t="s">
        <v>57</v>
      </c>
      <c r="K45" s="92"/>
      <c r="L45" s="92" t="s">
        <v>57</v>
      </c>
      <c r="M45" s="92"/>
      <c r="N45" s="92"/>
      <c r="O45" s="92"/>
      <c r="P45" s="92"/>
      <c r="Q45" s="92"/>
      <c r="R45" s="92"/>
      <c r="S45" s="92"/>
      <c r="T45" s="92"/>
      <c r="U45" s="92"/>
    </row>
    <row r="46" spans="1:21" ht="21.6">
      <c r="A46" s="159"/>
      <c r="B46" s="88" t="s">
        <v>58</v>
      </c>
      <c r="C46" s="89" t="s">
        <v>138</v>
      </c>
      <c r="D46" s="92"/>
      <c r="E46" s="92"/>
      <c r="F46" s="92" t="s">
        <v>182</v>
      </c>
      <c r="G46" s="92" t="s">
        <v>191</v>
      </c>
      <c r="H46" s="92" t="s">
        <v>228</v>
      </c>
      <c r="I46" s="92" t="s">
        <v>191</v>
      </c>
      <c r="J46" s="92" t="s">
        <v>228</v>
      </c>
      <c r="K46" s="92" t="s">
        <v>283</v>
      </c>
      <c r="L46" s="92" t="s">
        <v>302</v>
      </c>
      <c r="M46" s="92" t="s">
        <v>320</v>
      </c>
      <c r="N46" s="92" t="s">
        <v>228</v>
      </c>
      <c r="O46" s="92"/>
      <c r="P46" s="92"/>
      <c r="Q46" s="92">
        <v>113</v>
      </c>
      <c r="R46" s="92">
        <v>71</v>
      </c>
      <c r="S46" s="92"/>
      <c r="T46" s="92"/>
      <c r="U46" s="92"/>
    </row>
    <row r="47" spans="1:21">
      <c r="A47" s="159"/>
      <c r="B47" s="88" t="s">
        <v>59</v>
      </c>
      <c r="C47" s="89" t="s">
        <v>139</v>
      </c>
      <c r="D47" s="92"/>
      <c r="E47" s="92"/>
      <c r="F47" s="92" t="s">
        <v>183</v>
      </c>
      <c r="G47" s="92" t="s">
        <v>192</v>
      </c>
      <c r="H47" s="92" t="s">
        <v>229</v>
      </c>
      <c r="I47" s="92" t="s">
        <v>229</v>
      </c>
      <c r="J47" s="92" t="s">
        <v>229</v>
      </c>
      <c r="K47" s="92" t="s">
        <v>284</v>
      </c>
      <c r="L47" s="92" t="s">
        <v>303</v>
      </c>
      <c r="M47" s="92" t="s">
        <v>192</v>
      </c>
      <c r="N47" s="92" t="s">
        <v>229</v>
      </c>
      <c r="O47" s="92"/>
      <c r="P47" s="92"/>
      <c r="Q47" s="92">
        <v>2</v>
      </c>
      <c r="R47" s="92">
        <v>3.7</v>
      </c>
      <c r="S47" s="92"/>
      <c r="T47" s="92"/>
      <c r="U47" s="92"/>
    </row>
    <row r="48" spans="1:21" ht="28.9">
      <c r="A48" s="159"/>
      <c r="B48" s="88" t="s">
        <v>60</v>
      </c>
      <c r="C48" s="89" t="s">
        <v>140</v>
      </c>
      <c r="D48" s="92"/>
      <c r="E48" s="92"/>
      <c r="F48" s="92"/>
      <c r="G48" s="92" t="s">
        <v>193</v>
      </c>
      <c r="H48" s="92" t="s">
        <v>212</v>
      </c>
      <c r="I48" s="92"/>
      <c r="J48" s="92"/>
      <c r="K48" s="92"/>
      <c r="L48" s="92"/>
      <c r="M48" s="92"/>
      <c r="N48" s="92"/>
      <c r="O48" s="92"/>
      <c r="P48" s="92"/>
      <c r="Q48" s="92"/>
      <c r="R48" s="92">
        <v>1.03</v>
      </c>
      <c r="S48" s="92"/>
      <c r="T48" s="92"/>
      <c r="U48" s="92"/>
    </row>
    <row r="49" spans="1:21" ht="31.9">
      <c r="A49" s="159"/>
      <c r="B49" s="88" t="s">
        <v>61</v>
      </c>
      <c r="C49" s="89" t="s">
        <v>141</v>
      </c>
      <c r="D49" s="92" t="s">
        <v>397</v>
      </c>
      <c r="E49" s="92"/>
      <c r="F49" s="92"/>
      <c r="G49" s="92" t="s">
        <v>194</v>
      </c>
      <c r="H49" s="92" t="s">
        <v>230</v>
      </c>
      <c r="I49" s="92" t="s">
        <v>245</v>
      </c>
      <c r="J49" s="92" t="s">
        <v>268</v>
      </c>
      <c r="K49" s="92" t="s">
        <v>285</v>
      </c>
      <c r="L49" s="92"/>
      <c r="M49" s="92"/>
      <c r="N49" s="92" t="s">
        <v>336</v>
      </c>
      <c r="O49" s="92"/>
      <c r="P49" s="92"/>
      <c r="Q49" s="92"/>
      <c r="R49" s="92" t="s">
        <v>370</v>
      </c>
      <c r="S49" s="92" t="s">
        <v>370</v>
      </c>
      <c r="T49" s="92"/>
      <c r="U49" s="92"/>
    </row>
    <row r="50" spans="1:21" ht="42">
      <c r="A50" s="159"/>
      <c r="B50" s="88" t="s">
        <v>62</v>
      </c>
      <c r="C50" s="89" t="s">
        <v>142</v>
      </c>
      <c r="D50" s="92"/>
      <c r="E50" s="92"/>
      <c r="F50" s="92"/>
      <c r="G50" s="92" t="s">
        <v>195</v>
      </c>
      <c r="H50" s="92" t="s">
        <v>231</v>
      </c>
      <c r="I50" s="92" t="s">
        <v>249</v>
      </c>
      <c r="J50" s="92"/>
      <c r="K50" s="92"/>
      <c r="L50" s="92" t="s">
        <v>304</v>
      </c>
      <c r="M50" s="92" t="s">
        <v>62</v>
      </c>
      <c r="N50" s="92" t="s">
        <v>202</v>
      </c>
      <c r="O50" s="92"/>
      <c r="P50" s="92"/>
      <c r="Q50" s="92" t="s">
        <v>353</v>
      </c>
      <c r="R50" s="92" t="s">
        <v>371</v>
      </c>
      <c r="S50" s="92" t="s">
        <v>383</v>
      </c>
      <c r="T50" s="92"/>
      <c r="U50" s="92"/>
    </row>
    <row r="51" spans="1:21" ht="31.9">
      <c r="A51" s="159"/>
      <c r="B51" s="88" t="s">
        <v>63</v>
      </c>
      <c r="C51" s="89" t="s">
        <v>143</v>
      </c>
      <c r="D51" s="92"/>
      <c r="E51" s="92"/>
      <c r="F51" s="92" t="s">
        <v>184</v>
      </c>
      <c r="G51" s="92" t="s">
        <v>196</v>
      </c>
      <c r="H51" s="92" t="s">
        <v>232</v>
      </c>
      <c r="I51" s="92" t="s">
        <v>250</v>
      </c>
      <c r="J51" s="92"/>
      <c r="K51" s="92" t="s">
        <v>184</v>
      </c>
      <c r="L51" s="92"/>
      <c r="M51" s="92" t="s">
        <v>63</v>
      </c>
      <c r="N51" s="92" t="s">
        <v>337</v>
      </c>
      <c r="O51" s="92"/>
      <c r="P51" s="92"/>
      <c r="Q51" s="92"/>
      <c r="R51" s="92" t="s">
        <v>372</v>
      </c>
      <c r="S51" s="92" t="s">
        <v>372</v>
      </c>
      <c r="T51" s="92"/>
      <c r="U51" s="92"/>
    </row>
    <row r="52" spans="1:21" ht="42">
      <c r="A52" s="159"/>
      <c r="B52" s="88" t="s">
        <v>64</v>
      </c>
      <c r="C52" s="89" t="s">
        <v>144</v>
      </c>
      <c r="D52" s="92"/>
      <c r="E52" s="92"/>
      <c r="F52" s="92"/>
      <c r="G52" s="92"/>
      <c r="H52" s="92" t="s">
        <v>233</v>
      </c>
      <c r="I52" s="92" t="s">
        <v>251</v>
      </c>
      <c r="J52" s="92" t="s">
        <v>269</v>
      </c>
      <c r="K52" s="92"/>
      <c r="L52" s="92" t="s">
        <v>305</v>
      </c>
      <c r="M52" s="92" t="s">
        <v>321</v>
      </c>
      <c r="N52" s="92" t="s">
        <v>337</v>
      </c>
      <c r="O52" s="92"/>
      <c r="P52" s="92"/>
      <c r="Q52" s="92"/>
      <c r="R52" s="92" t="s">
        <v>373</v>
      </c>
      <c r="S52" s="92"/>
      <c r="T52" s="92"/>
      <c r="U52" s="92"/>
    </row>
    <row r="53" spans="1:21" ht="21.6">
      <c r="A53" s="159"/>
      <c r="B53" s="88" t="s">
        <v>65</v>
      </c>
      <c r="C53" s="89"/>
      <c r="D53" s="92"/>
      <c r="E53" s="92"/>
      <c r="F53" s="92"/>
      <c r="G53" s="92"/>
      <c r="H53" s="92"/>
      <c r="I53" s="92" t="s">
        <v>200</v>
      </c>
      <c r="J53" s="92" t="s">
        <v>270</v>
      </c>
      <c r="K53" s="92"/>
      <c r="L53" s="92"/>
      <c r="M53" s="92" t="s">
        <v>322</v>
      </c>
      <c r="N53" s="92" t="s">
        <v>200</v>
      </c>
      <c r="O53" s="92"/>
      <c r="P53" s="92"/>
      <c r="Q53" s="92"/>
      <c r="R53" s="92"/>
      <c r="S53" s="92"/>
      <c r="T53" s="92"/>
      <c r="U53" s="92"/>
    </row>
    <row r="54" spans="1:21">
      <c r="A54" s="159"/>
      <c r="B54" s="88" t="s">
        <v>66</v>
      </c>
      <c r="C54" s="89"/>
      <c r="D54" s="92"/>
      <c r="E54" s="92"/>
      <c r="F54" s="92"/>
      <c r="G54" s="92"/>
      <c r="H54" s="92"/>
      <c r="I54" s="92"/>
      <c r="J54" s="92" t="s">
        <v>200</v>
      </c>
      <c r="K54" s="92"/>
      <c r="L54" s="92"/>
      <c r="M54" s="92" t="s">
        <v>200</v>
      </c>
      <c r="N54" s="92" t="s">
        <v>200</v>
      </c>
      <c r="O54" s="92"/>
      <c r="P54" s="92"/>
      <c r="Q54" s="92"/>
      <c r="R54" s="92"/>
      <c r="S54" s="92"/>
      <c r="T54" s="92"/>
      <c r="U54" s="92"/>
    </row>
    <row r="55" spans="1:21" ht="21.6">
      <c r="A55" s="159"/>
      <c r="B55" s="88" t="s">
        <v>67</v>
      </c>
      <c r="C55" s="89"/>
      <c r="D55" s="92"/>
      <c r="E55" s="92"/>
      <c r="F55" s="92"/>
      <c r="G55" s="92" t="s">
        <v>197</v>
      </c>
      <c r="H55" s="92"/>
      <c r="I55" s="92"/>
      <c r="J55" s="92"/>
      <c r="K55" s="92"/>
      <c r="L55" s="92"/>
      <c r="M55" s="92"/>
      <c r="N55" s="92"/>
      <c r="O55" s="92"/>
      <c r="P55" s="92"/>
      <c r="Q55" s="92"/>
      <c r="R55" s="92"/>
      <c r="S55" s="92"/>
      <c r="T55" s="92"/>
      <c r="U55" s="92"/>
    </row>
    <row r="56" spans="1:21" ht="52.15">
      <c r="A56" s="160" t="s">
        <v>5</v>
      </c>
      <c r="B56" s="88" t="s">
        <v>68</v>
      </c>
      <c r="C56" s="89" t="s">
        <v>145</v>
      </c>
      <c r="D56" s="92"/>
      <c r="E56" s="92"/>
      <c r="F56" s="92"/>
      <c r="G56" s="92"/>
      <c r="H56" s="92" t="s">
        <v>234</v>
      </c>
      <c r="I56" s="92" t="s">
        <v>250</v>
      </c>
      <c r="J56" s="92" t="s">
        <v>271</v>
      </c>
      <c r="K56" s="92"/>
      <c r="L56" s="92"/>
      <c r="M56" s="92" t="s">
        <v>68</v>
      </c>
      <c r="N56" s="92" t="s">
        <v>68</v>
      </c>
      <c r="O56" s="92"/>
      <c r="P56" s="92"/>
      <c r="Q56" s="92"/>
      <c r="R56" s="92" t="s">
        <v>374</v>
      </c>
      <c r="S56" s="92" t="s">
        <v>384</v>
      </c>
      <c r="T56" s="92"/>
      <c r="U56" s="92"/>
    </row>
    <row r="57" spans="1:21" ht="42">
      <c r="A57" s="160"/>
      <c r="B57" s="88" t="s">
        <v>37</v>
      </c>
      <c r="C57" s="89" t="s">
        <v>146</v>
      </c>
      <c r="D57" s="92"/>
      <c r="E57" s="92"/>
      <c r="F57" s="92" t="s">
        <v>185</v>
      </c>
      <c r="G57" s="92"/>
      <c r="H57" s="92" t="s">
        <v>221</v>
      </c>
      <c r="I57" s="92" t="s">
        <v>250</v>
      </c>
      <c r="J57" s="92"/>
      <c r="K57" s="92"/>
      <c r="L57" s="92"/>
      <c r="M57" s="92"/>
      <c r="N57" s="92" t="s">
        <v>338</v>
      </c>
      <c r="O57" s="92"/>
      <c r="P57" s="92"/>
      <c r="Q57" s="92"/>
      <c r="R57" s="92" t="s">
        <v>367</v>
      </c>
      <c r="S57" s="92" t="s">
        <v>385</v>
      </c>
      <c r="T57" s="92"/>
      <c r="U57" s="92"/>
    </row>
    <row r="58" spans="1:21" ht="21.6">
      <c r="A58" s="160"/>
      <c r="B58" s="88" t="s">
        <v>69</v>
      </c>
      <c r="C58" s="89" t="s">
        <v>147</v>
      </c>
      <c r="D58" s="92"/>
      <c r="E58" s="92"/>
      <c r="F58" s="92" t="s">
        <v>186</v>
      </c>
      <c r="G58" s="92" t="s">
        <v>198</v>
      </c>
      <c r="H58" s="92" t="s">
        <v>235</v>
      </c>
      <c r="I58" s="92" t="s">
        <v>208</v>
      </c>
      <c r="J58" s="92"/>
      <c r="K58" s="92" t="s">
        <v>286</v>
      </c>
      <c r="L58" s="92" t="s">
        <v>69</v>
      </c>
      <c r="M58" s="92" t="s">
        <v>323</v>
      </c>
      <c r="N58" s="92" t="s">
        <v>339</v>
      </c>
      <c r="O58" s="92"/>
      <c r="P58" s="92"/>
      <c r="Q58" s="92"/>
      <c r="R58" s="92" t="s">
        <v>375</v>
      </c>
      <c r="S58" s="92"/>
      <c r="T58" s="92"/>
      <c r="U58" s="92"/>
    </row>
    <row r="59" spans="1:21">
      <c r="A59" s="160"/>
      <c r="B59" s="88" t="s">
        <v>70</v>
      </c>
      <c r="C59" s="89" t="s">
        <v>148</v>
      </c>
      <c r="D59" s="92"/>
      <c r="E59" s="92"/>
      <c r="F59" s="92"/>
      <c r="G59" s="92" t="s">
        <v>199</v>
      </c>
      <c r="H59" s="92" t="s">
        <v>70</v>
      </c>
      <c r="I59" s="92"/>
      <c r="J59" s="92"/>
      <c r="K59" s="92"/>
      <c r="L59" s="92" t="s">
        <v>70</v>
      </c>
      <c r="M59" s="92"/>
      <c r="N59" s="92" t="s">
        <v>70</v>
      </c>
      <c r="O59" s="92"/>
      <c r="P59" s="92"/>
      <c r="Q59" s="92"/>
      <c r="R59" s="92" t="s">
        <v>200</v>
      </c>
      <c r="S59" s="92"/>
      <c r="T59" s="92" t="s">
        <v>200</v>
      </c>
      <c r="U59" s="92"/>
    </row>
    <row r="60" spans="1:21">
      <c r="A60" s="160"/>
      <c r="B60" s="88" t="s">
        <v>71</v>
      </c>
      <c r="C60" s="89" t="s">
        <v>149</v>
      </c>
      <c r="D60" s="92"/>
      <c r="E60" s="92"/>
      <c r="F60" s="92"/>
      <c r="G60" s="92"/>
      <c r="H60" s="92" t="s">
        <v>71</v>
      </c>
      <c r="I60" s="92"/>
      <c r="J60" s="92"/>
      <c r="K60" s="92"/>
      <c r="L60" s="92" t="s">
        <v>71</v>
      </c>
      <c r="M60" s="92"/>
      <c r="N60" s="92" t="s">
        <v>71</v>
      </c>
      <c r="O60" s="92"/>
      <c r="P60" s="92"/>
      <c r="Q60" s="92"/>
      <c r="R60" s="92" t="s">
        <v>376</v>
      </c>
      <c r="S60" s="92"/>
      <c r="T60" s="92"/>
      <c r="U60" s="92"/>
    </row>
    <row r="61" spans="1:21">
      <c r="A61" s="160"/>
      <c r="B61" s="88" t="s">
        <v>72</v>
      </c>
      <c r="C61" s="89"/>
      <c r="D61" s="92"/>
      <c r="E61" s="92"/>
      <c r="F61" s="92"/>
      <c r="G61" s="92" t="s">
        <v>72</v>
      </c>
      <c r="H61" s="92" t="s">
        <v>202</v>
      </c>
      <c r="I61" s="92"/>
      <c r="J61" s="92"/>
      <c r="K61" s="92"/>
      <c r="L61" s="92"/>
      <c r="M61" s="92"/>
      <c r="N61" s="92"/>
      <c r="O61" s="92"/>
      <c r="P61" s="92"/>
      <c r="Q61" s="92"/>
      <c r="R61" s="92"/>
      <c r="S61" s="92"/>
      <c r="T61" s="92"/>
      <c r="U61" s="92"/>
    </row>
    <row r="62" spans="1:21" ht="21.6">
      <c r="A62" s="160"/>
      <c r="B62" s="88" t="s">
        <v>73</v>
      </c>
      <c r="C62" s="89" t="s">
        <v>150</v>
      </c>
      <c r="D62" s="92"/>
      <c r="E62" s="92"/>
      <c r="F62" s="92"/>
      <c r="G62" s="92" t="s">
        <v>200</v>
      </c>
      <c r="H62" s="92" t="s">
        <v>202</v>
      </c>
      <c r="I62" s="92"/>
      <c r="J62" s="92"/>
      <c r="K62" s="92"/>
      <c r="L62" s="92"/>
      <c r="M62" s="92"/>
      <c r="N62" s="92" t="s">
        <v>340</v>
      </c>
      <c r="O62" s="92"/>
      <c r="P62" s="92"/>
      <c r="Q62" s="92"/>
      <c r="R62" s="92"/>
      <c r="S62" s="92"/>
      <c r="T62" s="92"/>
      <c r="U62" s="92"/>
    </row>
    <row r="63" spans="1:21" ht="28.9">
      <c r="A63" s="160"/>
      <c r="B63" s="88" t="s">
        <v>74</v>
      </c>
      <c r="C63" s="89"/>
      <c r="D63" s="92"/>
      <c r="E63" s="92"/>
      <c r="F63" s="92"/>
      <c r="G63" s="92"/>
      <c r="H63" s="92" t="s">
        <v>202</v>
      </c>
      <c r="I63" s="92"/>
      <c r="J63" s="92"/>
      <c r="K63" s="92"/>
      <c r="L63" s="92"/>
      <c r="M63" s="92"/>
      <c r="N63" s="92" t="s">
        <v>341</v>
      </c>
      <c r="O63" s="92"/>
      <c r="P63" s="92"/>
      <c r="Q63" s="92"/>
      <c r="R63" s="92"/>
      <c r="S63" s="92"/>
      <c r="T63" s="92"/>
      <c r="U63" s="92"/>
    </row>
    <row r="64" spans="1:21">
      <c r="A64" s="160"/>
      <c r="B64" s="88" t="s">
        <v>75</v>
      </c>
      <c r="C64" s="89" t="s">
        <v>151</v>
      </c>
      <c r="D64" s="92"/>
      <c r="E64" s="92"/>
      <c r="F64" s="92"/>
      <c r="G64" s="92" t="s">
        <v>75</v>
      </c>
      <c r="H64" s="92" t="s">
        <v>202</v>
      </c>
      <c r="I64" s="92"/>
      <c r="J64" s="92"/>
      <c r="K64" s="92"/>
      <c r="L64" s="92" t="s">
        <v>297</v>
      </c>
      <c r="M64" s="92"/>
      <c r="N64" s="92" t="s">
        <v>200</v>
      </c>
      <c r="O64" s="92"/>
      <c r="P64" s="92"/>
      <c r="Q64" s="92"/>
      <c r="R64" s="92"/>
      <c r="S64" s="92"/>
      <c r="T64" s="92"/>
      <c r="U64" s="92"/>
    </row>
    <row r="65" spans="1:21">
      <c r="A65" s="160"/>
      <c r="B65" s="88" t="s">
        <v>76</v>
      </c>
      <c r="C65" s="89" t="s">
        <v>152</v>
      </c>
      <c r="D65" s="92"/>
      <c r="E65" s="92"/>
      <c r="F65" s="92"/>
      <c r="G65" s="92" t="s">
        <v>76</v>
      </c>
      <c r="H65" s="92" t="s">
        <v>202</v>
      </c>
      <c r="I65" s="92"/>
      <c r="J65" s="92"/>
      <c r="K65" s="92"/>
      <c r="L65" s="92" t="s">
        <v>297</v>
      </c>
      <c r="M65" s="92"/>
      <c r="N65" s="92"/>
      <c r="O65" s="92"/>
      <c r="P65" s="92"/>
      <c r="Q65" s="92"/>
      <c r="R65" s="92"/>
      <c r="S65" s="92"/>
      <c r="T65" s="92"/>
      <c r="U65" s="92"/>
    </row>
    <row r="66" spans="1:21" ht="42">
      <c r="A66" s="160"/>
      <c r="B66" s="88" t="s">
        <v>77</v>
      </c>
      <c r="C66" s="89" t="s">
        <v>153</v>
      </c>
      <c r="D66" s="92"/>
      <c r="E66" s="92"/>
      <c r="F66" s="92"/>
      <c r="G66" s="92"/>
      <c r="H66" s="92" t="s">
        <v>208</v>
      </c>
      <c r="I66" s="92" t="s">
        <v>208</v>
      </c>
      <c r="J66" s="92" t="s">
        <v>208</v>
      </c>
      <c r="K66" s="92" t="s">
        <v>31</v>
      </c>
      <c r="L66" s="92" t="s">
        <v>306</v>
      </c>
      <c r="M66" s="92"/>
      <c r="N66" s="92" t="s">
        <v>342</v>
      </c>
      <c r="O66" s="92"/>
      <c r="P66" s="92"/>
      <c r="Q66" s="92">
        <v>6</v>
      </c>
      <c r="R66" s="92"/>
      <c r="S66" s="92"/>
      <c r="T66" s="92"/>
      <c r="U66" s="92"/>
    </row>
    <row r="67" spans="1:21" ht="28.9">
      <c r="A67" s="160"/>
      <c r="B67" s="88" t="s">
        <v>78</v>
      </c>
      <c r="C67" s="89" t="s">
        <v>154</v>
      </c>
      <c r="D67" s="92"/>
      <c r="E67" s="92"/>
      <c r="F67" s="92"/>
      <c r="G67" s="92"/>
      <c r="H67" s="92" t="s">
        <v>208</v>
      </c>
      <c r="I67" s="92" t="s">
        <v>208</v>
      </c>
      <c r="J67" s="92" t="s">
        <v>208</v>
      </c>
      <c r="K67" s="92"/>
      <c r="L67" s="92" t="s">
        <v>307</v>
      </c>
      <c r="M67" s="92"/>
      <c r="N67" s="92" t="s">
        <v>78</v>
      </c>
      <c r="O67" s="92"/>
      <c r="P67" s="92"/>
      <c r="Q67" s="92">
        <v>6</v>
      </c>
      <c r="R67" s="92"/>
      <c r="S67" s="92"/>
      <c r="T67" s="92"/>
      <c r="U67" s="92"/>
    </row>
    <row r="68" spans="1:21">
      <c r="A68" s="87"/>
      <c r="B68" s="88"/>
      <c r="C68" s="89"/>
      <c r="D68" s="92"/>
      <c r="E68" s="92"/>
      <c r="F68" s="93"/>
      <c r="G68" s="93"/>
      <c r="H68" s="93"/>
      <c r="I68" s="93"/>
      <c r="J68" s="93"/>
      <c r="K68" s="93"/>
      <c r="L68" s="94"/>
      <c r="M68" s="94"/>
      <c r="N68" s="94" t="s">
        <v>200</v>
      </c>
      <c r="O68" s="94"/>
      <c r="P68" s="95"/>
    </row>
    <row r="69" spans="1:21">
      <c r="A69" s="87"/>
      <c r="B69" s="88"/>
      <c r="C69" s="89"/>
      <c r="D69" s="92"/>
      <c r="E69" s="92"/>
      <c r="F69" s="93"/>
      <c r="G69" s="93"/>
      <c r="H69" s="93"/>
      <c r="I69" s="93"/>
      <c r="J69" s="93"/>
      <c r="K69" s="93"/>
      <c r="L69" s="94"/>
      <c r="M69" s="94"/>
      <c r="N69" s="94"/>
      <c r="O69" s="94"/>
      <c r="P69" s="95"/>
    </row>
  </sheetData>
  <mergeCells count="8">
    <mergeCell ref="A29:A37"/>
    <mergeCell ref="A38:A55"/>
    <mergeCell ref="A56:A67"/>
    <mergeCell ref="A1:E1"/>
    <mergeCell ref="Q1:T1"/>
    <mergeCell ref="F1:O1"/>
    <mergeCell ref="A3:A7"/>
    <mergeCell ref="A9:A2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74"/>
  <sheetViews>
    <sheetView topLeftCell="A22" workbookViewId="0">
      <selection activeCell="A2" sqref="A2"/>
    </sheetView>
  </sheetViews>
  <sheetFormatPr defaultRowHeight="14.45"/>
  <cols>
    <col min="1" max="1" width="14.7109375" customWidth="1"/>
    <col min="2" max="2" width="20.42578125" customWidth="1"/>
    <col min="3" max="3" width="23.5703125" customWidth="1"/>
  </cols>
  <sheetData>
    <row r="1" spans="1:3" ht="45">
      <c r="A1" s="135" t="s">
        <v>412</v>
      </c>
      <c r="B1" s="135" t="s">
        <v>413</v>
      </c>
      <c r="C1" s="135" t="s">
        <v>414</v>
      </c>
    </row>
    <row r="2" spans="1:3" ht="15">
      <c r="A2" s="136"/>
      <c r="B2" s="136"/>
      <c r="C2" s="136"/>
    </row>
    <row r="3" spans="1:3" ht="15.75">
      <c r="A3" s="137" t="s">
        <v>415</v>
      </c>
      <c r="B3" s="137" t="s">
        <v>416</v>
      </c>
      <c r="C3" s="138" t="s">
        <v>417</v>
      </c>
    </row>
    <row r="4" spans="1:3" ht="15.75">
      <c r="A4" s="137" t="s">
        <v>418</v>
      </c>
      <c r="B4" s="137" t="s">
        <v>419</v>
      </c>
      <c r="C4" s="138" t="s">
        <v>417</v>
      </c>
    </row>
    <row r="5" spans="1:3" ht="30">
      <c r="A5" s="137" t="s">
        <v>420</v>
      </c>
      <c r="B5" s="137" t="s">
        <v>421</v>
      </c>
      <c r="C5" s="139" t="s">
        <v>422</v>
      </c>
    </row>
    <row r="6" spans="1:3" ht="15.75">
      <c r="A6" s="137" t="s">
        <v>423</v>
      </c>
      <c r="B6" s="137" t="s">
        <v>424</v>
      </c>
      <c r="C6" s="138" t="s">
        <v>417</v>
      </c>
    </row>
    <row r="7" spans="1:3" ht="45">
      <c r="A7" s="137" t="s">
        <v>366</v>
      </c>
      <c r="B7" s="137" t="s">
        <v>425</v>
      </c>
      <c r="C7" s="139" t="s">
        <v>426</v>
      </c>
    </row>
    <row r="8" spans="1:3" ht="31.5">
      <c r="A8" s="137" t="s">
        <v>427</v>
      </c>
      <c r="B8" s="137" t="s">
        <v>428</v>
      </c>
      <c r="C8" s="140" t="s">
        <v>429</v>
      </c>
    </row>
    <row r="9" spans="1:3" ht="31.5">
      <c r="A9" s="137" t="s">
        <v>430</v>
      </c>
      <c r="B9" s="137" t="s">
        <v>431</v>
      </c>
      <c r="C9" s="139" t="s">
        <v>432</v>
      </c>
    </row>
    <row r="10" spans="1:3" ht="30">
      <c r="A10" s="137" t="s">
        <v>433</v>
      </c>
      <c r="B10" s="137" t="s">
        <v>434</v>
      </c>
      <c r="C10" s="139" t="s">
        <v>435</v>
      </c>
    </row>
    <row r="11" spans="1:3" ht="45">
      <c r="A11" s="137" t="s">
        <v>436</v>
      </c>
      <c r="B11" s="137" t="s">
        <v>437</v>
      </c>
      <c r="C11" s="139" t="s">
        <v>426</v>
      </c>
    </row>
    <row r="12" spans="1:3" ht="31.5">
      <c r="A12" s="137" t="s">
        <v>438</v>
      </c>
      <c r="B12" s="137" t="s">
        <v>439</v>
      </c>
      <c r="C12" s="140" t="s">
        <v>429</v>
      </c>
    </row>
    <row r="13" spans="1:3" ht="15.75">
      <c r="A13" s="137" t="s">
        <v>440</v>
      </c>
      <c r="B13" s="137" t="s">
        <v>441</v>
      </c>
      <c r="C13" s="138" t="s">
        <v>417</v>
      </c>
    </row>
    <row r="14" spans="1:3" ht="45">
      <c r="A14" s="137" t="s">
        <v>442</v>
      </c>
      <c r="B14" s="137" t="s">
        <v>443</v>
      </c>
      <c r="C14" s="139" t="s">
        <v>426</v>
      </c>
    </row>
    <row r="15" spans="1:3" ht="31.5">
      <c r="A15" s="137" t="s">
        <v>444</v>
      </c>
      <c r="B15" s="137" t="s">
        <v>445</v>
      </c>
      <c r="C15" s="140" t="s">
        <v>429</v>
      </c>
    </row>
    <row r="16" spans="1:3" ht="31.5">
      <c r="A16" s="137" t="s">
        <v>446</v>
      </c>
      <c r="B16" s="137" t="s">
        <v>447</v>
      </c>
      <c r="C16" s="139" t="s">
        <v>432</v>
      </c>
    </row>
    <row r="17" spans="1:3" ht="30">
      <c r="A17" s="137" t="s">
        <v>448</v>
      </c>
      <c r="B17" s="137" t="s">
        <v>449</v>
      </c>
      <c r="C17" s="139" t="s">
        <v>435</v>
      </c>
    </row>
    <row r="18" spans="1:3" ht="45">
      <c r="A18" s="137" t="s">
        <v>450</v>
      </c>
      <c r="B18" s="137" t="s">
        <v>451</v>
      </c>
      <c r="C18" s="139" t="s">
        <v>426</v>
      </c>
    </row>
    <row r="19" spans="1:3" ht="28.5">
      <c r="A19" s="137" t="s">
        <v>452</v>
      </c>
      <c r="B19" s="137" t="s">
        <v>453</v>
      </c>
      <c r="C19" s="140" t="s">
        <v>429</v>
      </c>
    </row>
    <row r="20" spans="1:3" ht="47.25">
      <c r="A20" s="137" t="s">
        <v>454</v>
      </c>
      <c r="B20" s="137" t="s">
        <v>455</v>
      </c>
      <c r="C20" s="139" t="s">
        <v>456</v>
      </c>
    </row>
    <row r="21" spans="1:3" ht="45">
      <c r="A21" s="137" t="s">
        <v>457</v>
      </c>
      <c r="B21" s="137" t="s">
        <v>458</v>
      </c>
      <c r="C21" s="139" t="s">
        <v>456</v>
      </c>
    </row>
    <row r="22" spans="1:3" ht="31.5">
      <c r="A22" s="137" t="s">
        <v>459</v>
      </c>
      <c r="B22" s="137" t="s">
        <v>460</v>
      </c>
      <c r="C22" s="140" t="s">
        <v>461</v>
      </c>
    </row>
    <row r="23" spans="1:3" ht="45">
      <c r="A23" s="137" t="s">
        <v>462</v>
      </c>
      <c r="B23" s="137" t="s">
        <v>463</v>
      </c>
      <c r="C23" s="139" t="s">
        <v>426</v>
      </c>
    </row>
    <row r="24" spans="1:3" ht="45">
      <c r="A24" s="137" t="s">
        <v>464</v>
      </c>
      <c r="B24" s="137" t="s">
        <v>465</v>
      </c>
      <c r="C24" s="139" t="s">
        <v>456</v>
      </c>
    </row>
    <row r="25" spans="1:3" ht="45">
      <c r="A25" s="137" t="s">
        <v>382</v>
      </c>
      <c r="B25" s="137" t="s">
        <v>466</v>
      </c>
      <c r="C25" s="139" t="s">
        <v>426</v>
      </c>
    </row>
    <row r="26" spans="1:3" ht="28.5">
      <c r="A26" s="137" t="s">
        <v>467</v>
      </c>
      <c r="B26" s="137" t="s">
        <v>468</v>
      </c>
      <c r="C26" s="140" t="s">
        <v>429</v>
      </c>
    </row>
    <row r="27" spans="1:3" ht="31.5">
      <c r="A27" s="137" t="s">
        <v>469</v>
      </c>
      <c r="B27" s="137" t="s">
        <v>470</v>
      </c>
      <c r="C27" s="140" t="s">
        <v>461</v>
      </c>
    </row>
    <row r="28" spans="1:3" ht="45">
      <c r="A28" s="137" t="s">
        <v>471</v>
      </c>
      <c r="B28" s="137" t="s">
        <v>472</v>
      </c>
      <c r="C28" s="139" t="s">
        <v>456</v>
      </c>
    </row>
    <row r="29" spans="1:3" ht="15.75">
      <c r="A29" s="137" t="s">
        <v>473</v>
      </c>
      <c r="B29" s="137" t="s">
        <v>474</v>
      </c>
      <c r="C29" s="138" t="s">
        <v>417</v>
      </c>
    </row>
    <row r="30" spans="1:3" ht="45">
      <c r="A30" s="137" t="s">
        <v>475</v>
      </c>
      <c r="B30" s="137" t="s">
        <v>476</v>
      </c>
      <c r="C30" s="139" t="s">
        <v>456</v>
      </c>
    </row>
    <row r="31" spans="1:3" ht="31.5">
      <c r="A31" s="137" t="s">
        <v>477</v>
      </c>
      <c r="B31" s="137" t="s">
        <v>478</v>
      </c>
      <c r="C31" s="140" t="s">
        <v>461</v>
      </c>
    </row>
    <row r="32" spans="1:3" ht="15.75">
      <c r="A32" s="137" t="s">
        <v>479</v>
      </c>
      <c r="B32" s="137" t="s">
        <v>480</v>
      </c>
      <c r="C32" s="138" t="s">
        <v>417</v>
      </c>
    </row>
    <row r="33" spans="1:3" ht="31.5">
      <c r="A33" s="137" t="s">
        <v>481</v>
      </c>
      <c r="B33" s="137" t="s">
        <v>482</v>
      </c>
      <c r="C33" s="138" t="s">
        <v>417</v>
      </c>
    </row>
    <row r="34" spans="1:3" ht="47.25">
      <c r="A34" s="137" t="s">
        <v>483</v>
      </c>
      <c r="B34" s="137" t="s">
        <v>484</v>
      </c>
      <c r="C34" s="139" t="s">
        <v>456</v>
      </c>
    </row>
    <row r="35" spans="1:3" ht="15.75">
      <c r="A35" s="137" t="s">
        <v>485</v>
      </c>
      <c r="B35" s="137" t="s">
        <v>486</v>
      </c>
      <c r="C35" s="138" t="s">
        <v>417</v>
      </c>
    </row>
    <row r="36" spans="1:3" ht="42.75">
      <c r="A36" s="137" t="s">
        <v>487</v>
      </c>
      <c r="B36" s="137" t="s">
        <v>351</v>
      </c>
      <c r="C36" s="141" t="s">
        <v>488</v>
      </c>
    </row>
    <row r="37" spans="1:3" ht="45">
      <c r="A37" s="137" t="s">
        <v>489</v>
      </c>
      <c r="B37" s="137" t="s">
        <v>490</v>
      </c>
      <c r="C37" s="139" t="s">
        <v>456</v>
      </c>
    </row>
    <row r="38" spans="1:3" ht="15.75">
      <c r="A38" s="137" t="s">
        <v>491</v>
      </c>
      <c r="B38" s="137" t="s">
        <v>492</v>
      </c>
      <c r="C38" s="138" t="s">
        <v>417</v>
      </c>
    </row>
    <row r="39" spans="1:3" ht="31.5">
      <c r="A39" s="137" t="s">
        <v>493</v>
      </c>
      <c r="B39" s="137" t="s">
        <v>494</v>
      </c>
      <c r="C39" s="140" t="s">
        <v>461</v>
      </c>
    </row>
    <row r="40" spans="1:3" ht="45">
      <c r="A40" s="137" t="s">
        <v>495</v>
      </c>
      <c r="B40" s="137" t="s">
        <v>496</v>
      </c>
      <c r="C40" s="139" t="s">
        <v>426</v>
      </c>
    </row>
    <row r="41" spans="1:3" ht="45">
      <c r="A41" s="137" t="s">
        <v>497</v>
      </c>
      <c r="B41" s="137" t="s">
        <v>498</v>
      </c>
      <c r="C41" s="139" t="s">
        <v>456</v>
      </c>
    </row>
    <row r="42" spans="1:3" ht="45">
      <c r="A42" s="137" t="s">
        <v>499</v>
      </c>
      <c r="B42" s="137" t="s">
        <v>500</v>
      </c>
      <c r="C42" s="139" t="s">
        <v>426</v>
      </c>
    </row>
    <row r="43" spans="1:3" ht="31.5">
      <c r="A43" s="137" t="s">
        <v>501</v>
      </c>
      <c r="B43" s="137" t="s">
        <v>502</v>
      </c>
      <c r="C43" s="140" t="s">
        <v>429</v>
      </c>
    </row>
    <row r="44" spans="1:3" ht="31.5">
      <c r="A44" s="137" t="s">
        <v>503</v>
      </c>
      <c r="B44" s="137" t="s">
        <v>504</v>
      </c>
      <c r="C44" s="140" t="s">
        <v>461</v>
      </c>
    </row>
    <row r="45" spans="1:3" ht="45">
      <c r="A45" s="137" t="s">
        <v>505</v>
      </c>
      <c r="B45" s="137" t="s">
        <v>506</v>
      </c>
      <c r="C45" s="139" t="s">
        <v>456</v>
      </c>
    </row>
    <row r="46" spans="1:3" ht="15.75">
      <c r="A46" s="137" t="s">
        <v>507</v>
      </c>
      <c r="B46" s="137" t="s">
        <v>508</v>
      </c>
      <c r="C46" s="138" t="s">
        <v>417</v>
      </c>
    </row>
    <row r="47" spans="1:3" ht="31.5">
      <c r="A47" s="137" t="s">
        <v>509</v>
      </c>
      <c r="B47" s="137" t="s">
        <v>510</v>
      </c>
      <c r="C47" s="138" t="s">
        <v>417</v>
      </c>
    </row>
    <row r="48" spans="1:3" ht="15.75">
      <c r="A48" s="137" t="s">
        <v>511</v>
      </c>
      <c r="B48" s="137" t="s">
        <v>512</v>
      </c>
      <c r="C48" s="138" t="s">
        <v>417</v>
      </c>
    </row>
    <row r="49" spans="1:3" ht="31.5">
      <c r="A49" s="137" t="s">
        <v>513</v>
      </c>
      <c r="B49" s="137" t="s">
        <v>514</v>
      </c>
      <c r="C49" s="141" t="s">
        <v>515</v>
      </c>
    </row>
    <row r="50" spans="1:3" ht="15.75">
      <c r="A50" s="137" t="s">
        <v>516</v>
      </c>
      <c r="B50" s="137" t="s">
        <v>517</v>
      </c>
      <c r="C50" s="138" t="s">
        <v>417</v>
      </c>
    </row>
    <row r="51" spans="1:3" ht="45">
      <c r="A51" s="137" t="s">
        <v>518</v>
      </c>
      <c r="B51" s="137" t="s">
        <v>519</v>
      </c>
      <c r="C51" s="139" t="s">
        <v>426</v>
      </c>
    </row>
    <row r="52" spans="1:3" ht="31.5">
      <c r="A52" s="137" t="s">
        <v>520</v>
      </c>
      <c r="B52" s="137" t="s">
        <v>521</v>
      </c>
      <c r="C52" s="140" t="s">
        <v>429</v>
      </c>
    </row>
    <row r="53" spans="1:3" ht="31.5">
      <c r="A53" s="137" t="s">
        <v>522</v>
      </c>
      <c r="B53" s="137" t="s">
        <v>523</v>
      </c>
      <c r="C53" s="139" t="s">
        <v>432</v>
      </c>
    </row>
    <row r="54" spans="1:3" ht="30">
      <c r="A54" s="137" t="s">
        <v>524</v>
      </c>
      <c r="B54" s="137" t="s">
        <v>525</v>
      </c>
      <c r="C54" s="139" t="s">
        <v>435</v>
      </c>
    </row>
    <row r="55" spans="1:3" ht="45">
      <c r="A55" s="137" t="s">
        <v>526</v>
      </c>
      <c r="B55" s="137" t="s">
        <v>527</v>
      </c>
      <c r="C55" s="139" t="s">
        <v>426</v>
      </c>
    </row>
    <row r="56" spans="1:3" ht="28.5">
      <c r="A56" s="137" t="s">
        <v>528</v>
      </c>
      <c r="B56" s="137" t="s">
        <v>529</v>
      </c>
      <c r="C56" s="140" t="s">
        <v>429</v>
      </c>
    </row>
    <row r="57" spans="1:3" ht="31.5">
      <c r="A57" s="137" t="s">
        <v>530</v>
      </c>
      <c r="B57" s="137" t="s">
        <v>531</v>
      </c>
      <c r="C57" s="141" t="s">
        <v>532</v>
      </c>
    </row>
    <row r="58" spans="1:3" ht="47.25">
      <c r="A58" s="137" t="s">
        <v>533</v>
      </c>
      <c r="B58" s="137" t="s">
        <v>534</v>
      </c>
      <c r="C58" s="139" t="s">
        <v>456</v>
      </c>
    </row>
    <row r="59" spans="1:3" ht="15.75">
      <c r="A59" s="137" t="s">
        <v>535</v>
      </c>
      <c r="B59" s="137" t="s">
        <v>536</v>
      </c>
      <c r="C59" s="138" t="s">
        <v>417</v>
      </c>
    </row>
    <row r="60" spans="1:3" ht="45">
      <c r="A60" s="137" t="s">
        <v>537</v>
      </c>
      <c r="B60" s="137" t="s">
        <v>538</v>
      </c>
      <c r="C60" s="139" t="s">
        <v>456</v>
      </c>
    </row>
    <row r="61" spans="1:3" ht="31.5">
      <c r="A61" s="137" t="s">
        <v>539</v>
      </c>
      <c r="B61" s="137" t="s">
        <v>540</v>
      </c>
      <c r="C61" s="139" t="s">
        <v>432</v>
      </c>
    </row>
    <row r="62" spans="1:3" ht="31.5">
      <c r="A62" s="137" t="s">
        <v>541</v>
      </c>
      <c r="B62" s="137" t="s">
        <v>542</v>
      </c>
      <c r="C62" s="140" t="s">
        <v>461</v>
      </c>
    </row>
    <row r="63" spans="1:3" ht="31.5">
      <c r="A63" s="137" t="s">
        <v>543</v>
      </c>
      <c r="B63" s="137" t="s">
        <v>544</v>
      </c>
      <c r="C63" s="140" t="s">
        <v>461</v>
      </c>
    </row>
    <row r="64" spans="1:3" ht="45">
      <c r="A64" s="137" t="s">
        <v>545</v>
      </c>
      <c r="B64" s="137" t="s">
        <v>546</v>
      </c>
      <c r="C64" s="139" t="s">
        <v>426</v>
      </c>
    </row>
    <row r="65" spans="1:3" ht="45">
      <c r="A65" s="137" t="s">
        <v>547</v>
      </c>
      <c r="B65" s="137" t="s">
        <v>548</v>
      </c>
      <c r="C65" s="139" t="s">
        <v>456</v>
      </c>
    </row>
    <row r="66" spans="1:3" ht="45">
      <c r="A66" s="137" t="s">
        <v>549</v>
      </c>
      <c r="B66" s="137" t="s">
        <v>550</v>
      </c>
      <c r="C66" s="139" t="s">
        <v>426</v>
      </c>
    </row>
    <row r="67" spans="1:3" ht="28.5">
      <c r="A67" s="137" t="s">
        <v>551</v>
      </c>
      <c r="B67" s="137" t="s">
        <v>552</v>
      </c>
      <c r="C67" s="140" t="s">
        <v>429</v>
      </c>
    </row>
    <row r="68" spans="1:3" ht="31.5">
      <c r="A68" s="137" t="s">
        <v>553</v>
      </c>
      <c r="B68" s="137" t="s">
        <v>554</v>
      </c>
      <c r="C68" s="140" t="s">
        <v>461</v>
      </c>
    </row>
    <row r="69" spans="1:3" ht="45">
      <c r="A69" s="137" t="s">
        <v>555</v>
      </c>
      <c r="B69" s="137" t="s">
        <v>556</v>
      </c>
      <c r="C69" s="139" t="s">
        <v>456</v>
      </c>
    </row>
    <row r="70" spans="1:3" ht="45">
      <c r="A70" s="137" t="s">
        <v>557</v>
      </c>
      <c r="B70" s="137" t="s">
        <v>558</v>
      </c>
      <c r="C70" s="139" t="s">
        <v>456</v>
      </c>
    </row>
    <row r="71" spans="1:3" ht="15"/>
    <row r="72" spans="1:3" ht="15"/>
    <row r="73" spans="1:3" ht="15"/>
    <row r="74" spans="1:3" ht="15"/>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1546"/>
  <sheetViews>
    <sheetView workbookViewId="0">
      <selection activeCell="D16" sqref="D16"/>
    </sheetView>
  </sheetViews>
  <sheetFormatPr defaultRowHeight="14.45"/>
  <cols>
    <col min="1" max="1" width="11.28515625" customWidth="1"/>
    <col min="2" max="2" width="19" customWidth="1"/>
    <col min="3" max="3" width="19.85546875" customWidth="1"/>
    <col min="4" max="4" width="17.5703125" customWidth="1"/>
    <col min="6" max="6" width="13.42578125" customWidth="1"/>
    <col min="7" max="7" width="39" customWidth="1"/>
    <col min="8" max="8" width="11.140625" customWidth="1"/>
    <col min="10" max="10" width="12" customWidth="1"/>
    <col min="11" max="11" width="12.28515625" customWidth="1"/>
    <col min="13" max="13" width="12.7109375" customWidth="1"/>
    <col min="14" max="14" width="17" customWidth="1"/>
    <col min="15" max="15" width="10.7109375" customWidth="1"/>
    <col min="16" max="16" width="9.85546875" customWidth="1"/>
    <col min="18" max="18" width="21.140625" customWidth="1"/>
    <col min="21" max="21" width="11.140625" customWidth="1"/>
    <col min="22" max="22" width="14.42578125" customWidth="1"/>
    <col min="23" max="23" width="15.7109375" customWidth="1"/>
    <col min="24" max="24" width="13.42578125" customWidth="1"/>
    <col min="25" max="25" width="11.5703125" customWidth="1"/>
    <col min="30" max="30" width="12.5703125" customWidth="1"/>
    <col min="31" max="31" width="14.140625" customWidth="1"/>
    <col min="37" max="38" width="21.140625" customWidth="1"/>
    <col min="40" max="40" width="10.5703125" customWidth="1"/>
  </cols>
  <sheetData>
    <row r="1" spans="1:36">
      <c r="B1" t="s">
        <v>559</v>
      </c>
      <c r="C1" t="s">
        <v>14</v>
      </c>
      <c r="D1" t="s">
        <v>560</v>
      </c>
      <c r="F1" t="s">
        <v>561</v>
      </c>
      <c r="G1" t="s">
        <v>44</v>
      </c>
      <c r="H1" t="s">
        <v>53</v>
      </c>
      <c r="I1" t="s">
        <v>69</v>
      </c>
      <c r="J1" t="s">
        <v>56</v>
      </c>
      <c r="K1" t="s">
        <v>57</v>
      </c>
      <c r="L1" t="s">
        <v>55</v>
      </c>
      <c r="M1" t="s">
        <v>58</v>
      </c>
      <c r="N1" t="s">
        <v>59</v>
      </c>
      <c r="O1" t="s">
        <v>304</v>
      </c>
      <c r="P1" t="s">
        <v>305</v>
      </c>
      <c r="Q1" t="s">
        <v>562</v>
      </c>
      <c r="R1" t="s">
        <v>293</v>
      </c>
      <c r="U1" t="s">
        <v>306</v>
      </c>
      <c r="V1" t="s">
        <v>307</v>
      </c>
      <c r="W1" t="s">
        <v>294</v>
      </c>
      <c r="X1" t="s">
        <v>290</v>
      </c>
      <c r="Y1" t="s">
        <v>207</v>
      </c>
      <c r="Z1" t="s">
        <v>295</v>
      </c>
      <c r="AB1" t="s">
        <v>26</v>
      </c>
      <c r="AC1" t="s">
        <v>296</v>
      </c>
      <c r="AD1" t="s">
        <v>29</v>
      </c>
      <c r="AE1" t="s">
        <v>10</v>
      </c>
      <c r="AF1" t="s">
        <v>11</v>
      </c>
      <c r="AG1" t="s">
        <v>12</v>
      </c>
      <c r="AH1" t="s">
        <v>300</v>
      </c>
      <c r="AI1" t="s">
        <v>70</v>
      </c>
      <c r="AJ1" t="s">
        <v>71</v>
      </c>
    </row>
    <row r="2" spans="1:36" s="1" customFormat="1" ht="129.6">
      <c r="A2" s="1" t="s">
        <v>563</v>
      </c>
      <c r="B2" s="1" t="s">
        <v>564</v>
      </c>
      <c r="C2" s="1" t="s">
        <v>565</v>
      </c>
      <c r="G2" s="1" t="s">
        <v>566</v>
      </c>
      <c r="H2" s="1" t="s">
        <v>133</v>
      </c>
      <c r="I2" s="1" t="s">
        <v>567</v>
      </c>
      <c r="J2" s="1" t="s">
        <v>136</v>
      </c>
      <c r="K2" s="2" t="s">
        <v>568</v>
      </c>
      <c r="L2" s="1" t="s">
        <v>569</v>
      </c>
      <c r="M2" s="1" t="s">
        <v>570</v>
      </c>
      <c r="N2" s="1" t="s">
        <v>571</v>
      </c>
    </row>
    <row r="3" spans="1:36" s="66" customFormat="1">
      <c r="A3" s="66" t="s">
        <v>572</v>
      </c>
      <c r="B3" s="66" t="s">
        <v>288</v>
      </c>
      <c r="C3" s="66" t="s">
        <v>289</v>
      </c>
      <c r="D3" s="66" t="s">
        <v>291</v>
      </c>
      <c r="F3" s="66" t="s">
        <v>292</v>
      </c>
      <c r="G3" s="66" t="s">
        <v>298</v>
      </c>
      <c r="H3" s="66" t="s">
        <v>299</v>
      </c>
      <c r="I3" s="66" t="s">
        <v>69</v>
      </c>
      <c r="J3" s="66" t="s">
        <v>56</v>
      </c>
      <c r="K3" s="66" t="s">
        <v>57</v>
      </c>
      <c r="L3" s="66" t="s">
        <v>301</v>
      </c>
      <c r="M3" s="66" t="s">
        <v>302</v>
      </c>
      <c r="N3" s="66" t="s">
        <v>303</v>
      </c>
      <c r="O3" s="66" t="s">
        <v>304</v>
      </c>
      <c r="P3" s="66" t="s">
        <v>305</v>
      </c>
      <c r="Q3" s="66" t="s">
        <v>562</v>
      </c>
      <c r="R3" s="66" t="s">
        <v>293</v>
      </c>
      <c r="U3" s="66" t="s">
        <v>306</v>
      </c>
      <c r="V3" s="66" t="s">
        <v>307</v>
      </c>
      <c r="W3" s="66" t="s">
        <v>294</v>
      </c>
      <c r="X3" s="66" t="s">
        <v>290</v>
      </c>
      <c r="Y3" s="66" t="s">
        <v>207</v>
      </c>
      <c r="Z3" s="66" t="s">
        <v>295</v>
      </c>
      <c r="AB3" s="66" t="s">
        <v>26</v>
      </c>
      <c r="AC3" s="66" t="s">
        <v>296</v>
      </c>
      <c r="AD3" s="66" t="s">
        <v>29</v>
      </c>
      <c r="AE3" s="66" t="s">
        <v>10</v>
      </c>
      <c r="AF3" s="66" t="s">
        <v>11</v>
      </c>
      <c r="AG3" s="66" t="s">
        <v>12</v>
      </c>
      <c r="AH3" s="66" t="s">
        <v>300</v>
      </c>
      <c r="AI3" s="66" t="s">
        <v>70</v>
      </c>
      <c r="AJ3" s="66" t="s">
        <v>71</v>
      </c>
    </row>
    <row r="4" spans="1:36" ht="28.9">
      <c r="A4" s="1" t="s">
        <v>573</v>
      </c>
      <c r="B4" t="s">
        <v>345</v>
      </c>
      <c r="C4" t="s">
        <v>347</v>
      </c>
      <c r="D4" s="3">
        <v>42824.370138888888</v>
      </c>
      <c r="F4">
        <v>2017</v>
      </c>
      <c r="G4" t="s">
        <v>351</v>
      </c>
      <c r="H4" t="s">
        <v>352</v>
      </c>
      <c r="J4">
        <v>0</v>
      </c>
      <c r="L4">
        <v>1</v>
      </c>
      <c r="M4">
        <v>113</v>
      </c>
      <c r="N4">
        <v>2</v>
      </c>
      <c r="O4" t="s">
        <v>353</v>
      </c>
      <c r="U4">
        <v>6</v>
      </c>
      <c r="V4">
        <v>6</v>
      </c>
      <c r="W4" t="s">
        <v>350</v>
      </c>
      <c r="X4" t="s">
        <v>349</v>
      </c>
      <c r="Y4" t="s">
        <v>348</v>
      </c>
      <c r="Z4">
        <v>2017</v>
      </c>
      <c r="AB4">
        <v>12</v>
      </c>
      <c r="AC4">
        <v>6.38</v>
      </c>
      <c r="AE4" t="s">
        <v>346</v>
      </c>
      <c r="AF4">
        <v>46.142674</v>
      </c>
      <c r="AG4">
        <v>-115.598088</v>
      </c>
      <c r="AH4">
        <v>14112267</v>
      </c>
    </row>
    <row r="5" spans="1:36">
      <c r="B5" t="s">
        <v>345</v>
      </c>
      <c r="C5" t="s">
        <v>347</v>
      </c>
      <c r="D5" s="3">
        <v>42824.370138888888</v>
      </c>
      <c r="F5">
        <v>2017</v>
      </c>
      <c r="G5" t="s">
        <v>351</v>
      </c>
      <c r="H5" t="s">
        <v>352</v>
      </c>
      <c r="J5">
        <v>0</v>
      </c>
      <c r="L5">
        <v>1</v>
      </c>
      <c r="M5">
        <v>73</v>
      </c>
      <c r="N5">
        <v>1</v>
      </c>
      <c r="O5" t="s">
        <v>353</v>
      </c>
      <c r="U5">
        <v>6</v>
      </c>
      <c r="V5">
        <v>6</v>
      </c>
      <c r="W5" t="s">
        <v>350</v>
      </c>
      <c r="X5" t="s">
        <v>349</v>
      </c>
      <c r="Y5" t="s">
        <v>348</v>
      </c>
      <c r="Z5">
        <v>2017</v>
      </c>
      <c r="AB5">
        <v>12</v>
      </c>
      <c r="AC5">
        <v>6.38</v>
      </c>
      <c r="AE5" t="s">
        <v>346</v>
      </c>
      <c r="AF5">
        <v>46.142674</v>
      </c>
      <c r="AG5">
        <v>-115.598088</v>
      </c>
      <c r="AH5">
        <v>14112268</v>
      </c>
    </row>
    <row r="6" spans="1:36">
      <c r="B6" t="s">
        <v>345</v>
      </c>
      <c r="C6" t="s">
        <v>347</v>
      </c>
      <c r="D6" s="3">
        <v>42824.370138888888</v>
      </c>
      <c r="F6">
        <v>2017</v>
      </c>
      <c r="G6" t="s">
        <v>574</v>
      </c>
      <c r="H6" t="s">
        <v>352</v>
      </c>
      <c r="J6">
        <v>0</v>
      </c>
      <c r="L6">
        <v>1</v>
      </c>
      <c r="M6">
        <v>91</v>
      </c>
      <c r="N6">
        <v>8</v>
      </c>
      <c r="O6" t="s">
        <v>575</v>
      </c>
      <c r="Q6" t="s">
        <v>576</v>
      </c>
      <c r="U6">
        <v>6</v>
      </c>
      <c r="V6">
        <v>6</v>
      </c>
      <c r="W6" t="s">
        <v>350</v>
      </c>
      <c r="X6" t="s">
        <v>349</v>
      </c>
      <c r="Y6" t="s">
        <v>348</v>
      </c>
      <c r="Z6">
        <v>2017</v>
      </c>
      <c r="AB6">
        <v>12</v>
      </c>
      <c r="AC6">
        <v>6.38</v>
      </c>
      <c r="AE6" t="s">
        <v>346</v>
      </c>
      <c r="AF6">
        <v>46.142674</v>
      </c>
      <c r="AG6">
        <v>-115.598088</v>
      </c>
      <c r="AH6">
        <v>14112269</v>
      </c>
    </row>
    <row r="7" spans="1:36">
      <c r="B7" t="s">
        <v>345</v>
      </c>
      <c r="C7" t="s">
        <v>347</v>
      </c>
      <c r="D7" s="3">
        <v>42824.370138888888</v>
      </c>
      <c r="F7">
        <v>2017</v>
      </c>
      <c r="G7" t="s">
        <v>574</v>
      </c>
      <c r="H7" t="s">
        <v>352</v>
      </c>
      <c r="J7">
        <v>0</v>
      </c>
      <c r="L7">
        <v>1</v>
      </c>
      <c r="M7">
        <v>88</v>
      </c>
      <c r="N7">
        <v>7</v>
      </c>
      <c r="O7" t="s">
        <v>575</v>
      </c>
      <c r="Q7" t="s">
        <v>576</v>
      </c>
      <c r="U7">
        <v>6</v>
      </c>
      <c r="V7">
        <v>6</v>
      </c>
      <c r="W7" t="s">
        <v>350</v>
      </c>
      <c r="X7" t="s">
        <v>349</v>
      </c>
      <c r="Y7" t="s">
        <v>348</v>
      </c>
      <c r="Z7">
        <v>2017</v>
      </c>
      <c r="AB7">
        <v>12</v>
      </c>
      <c r="AC7">
        <v>6.38</v>
      </c>
      <c r="AE7" t="s">
        <v>346</v>
      </c>
      <c r="AF7">
        <v>46.142674</v>
      </c>
      <c r="AG7">
        <v>-115.598088</v>
      </c>
      <c r="AH7">
        <v>14112270</v>
      </c>
    </row>
    <row r="8" spans="1:36">
      <c r="B8" t="s">
        <v>345</v>
      </c>
      <c r="C8" t="s">
        <v>577</v>
      </c>
      <c r="D8" s="3">
        <v>42859.341666666667</v>
      </c>
      <c r="F8">
        <v>2017</v>
      </c>
      <c r="G8" t="s">
        <v>578</v>
      </c>
      <c r="H8" t="s">
        <v>352</v>
      </c>
      <c r="J8">
        <v>0</v>
      </c>
      <c r="L8">
        <v>1</v>
      </c>
      <c r="M8">
        <v>162</v>
      </c>
      <c r="N8">
        <v>40</v>
      </c>
      <c r="O8" t="s">
        <v>575</v>
      </c>
      <c r="Q8" t="s">
        <v>576</v>
      </c>
      <c r="R8" t="s">
        <v>579</v>
      </c>
      <c r="U8">
        <v>9</v>
      </c>
      <c r="V8">
        <v>8</v>
      </c>
      <c r="W8" t="s">
        <v>350</v>
      </c>
      <c r="X8" t="s">
        <v>349</v>
      </c>
      <c r="Y8" t="s">
        <v>580</v>
      </c>
      <c r="Z8">
        <v>2017</v>
      </c>
      <c r="AB8">
        <v>14</v>
      </c>
      <c r="AC8">
        <v>5.87</v>
      </c>
      <c r="AE8" t="s">
        <v>346</v>
      </c>
      <c r="AF8">
        <v>46.142674</v>
      </c>
      <c r="AG8">
        <v>-115.598088</v>
      </c>
      <c r="AH8">
        <v>14113985</v>
      </c>
    </row>
    <row r="9" spans="1:36">
      <c r="B9" t="s">
        <v>345</v>
      </c>
      <c r="C9" t="s">
        <v>577</v>
      </c>
      <c r="D9" s="3">
        <v>42859.341666666667</v>
      </c>
      <c r="F9">
        <v>2017</v>
      </c>
      <c r="G9" t="s">
        <v>578</v>
      </c>
      <c r="H9" t="s">
        <v>352</v>
      </c>
      <c r="J9">
        <v>0</v>
      </c>
      <c r="L9">
        <v>1</v>
      </c>
      <c r="M9">
        <v>171</v>
      </c>
      <c r="N9">
        <v>43</v>
      </c>
      <c r="O9" t="s">
        <v>575</v>
      </c>
      <c r="Q9" t="s">
        <v>581</v>
      </c>
      <c r="R9" t="s">
        <v>579</v>
      </c>
      <c r="U9">
        <v>9</v>
      </c>
      <c r="V9">
        <v>8</v>
      </c>
      <c r="W9" t="s">
        <v>350</v>
      </c>
      <c r="X9" t="s">
        <v>349</v>
      </c>
      <c r="Y9" t="s">
        <v>580</v>
      </c>
      <c r="Z9">
        <v>2017</v>
      </c>
      <c r="AB9">
        <v>14</v>
      </c>
      <c r="AC9">
        <v>5.87</v>
      </c>
      <c r="AE9" t="s">
        <v>346</v>
      </c>
      <c r="AF9">
        <v>46.142674</v>
      </c>
      <c r="AG9">
        <v>-115.598088</v>
      </c>
      <c r="AH9">
        <v>14113986</v>
      </c>
    </row>
    <row r="10" spans="1:36">
      <c r="B10" t="s">
        <v>345</v>
      </c>
      <c r="C10" t="s">
        <v>577</v>
      </c>
      <c r="D10" s="3">
        <v>42859.341666666667</v>
      </c>
      <c r="F10">
        <v>2017</v>
      </c>
      <c r="G10" t="s">
        <v>578</v>
      </c>
      <c r="H10" t="s">
        <v>352</v>
      </c>
      <c r="J10">
        <v>0</v>
      </c>
      <c r="L10">
        <v>1</v>
      </c>
      <c r="M10">
        <v>188</v>
      </c>
      <c r="N10">
        <v>54</v>
      </c>
      <c r="O10" t="s">
        <v>575</v>
      </c>
      <c r="Q10" t="s">
        <v>576</v>
      </c>
      <c r="R10" t="s">
        <v>579</v>
      </c>
      <c r="U10">
        <v>9</v>
      </c>
      <c r="V10">
        <v>8</v>
      </c>
      <c r="W10" t="s">
        <v>350</v>
      </c>
      <c r="X10" t="s">
        <v>349</v>
      </c>
      <c r="Y10" t="s">
        <v>580</v>
      </c>
      <c r="Z10">
        <v>2017</v>
      </c>
      <c r="AB10">
        <v>14</v>
      </c>
      <c r="AC10">
        <v>5.87</v>
      </c>
      <c r="AE10" t="s">
        <v>346</v>
      </c>
      <c r="AF10">
        <v>46.142674</v>
      </c>
      <c r="AG10">
        <v>-115.598088</v>
      </c>
      <c r="AH10">
        <v>14113987</v>
      </c>
    </row>
    <row r="11" spans="1:36">
      <c r="B11" t="s">
        <v>345</v>
      </c>
      <c r="C11" t="s">
        <v>577</v>
      </c>
      <c r="D11" s="3">
        <v>42859.341666666667</v>
      </c>
      <c r="F11">
        <v>2017</v>
      </c>
      <c r="G11" t="s">
        <v>578</v>
      </c>
      <c r="H11" t="s">
        <v>352</v>
      </c>
      <c r="J11">
        <v>0</v>
      </c>
      <c r="L11">
        <v>1</v>
      </c>
      <c r="M11">
        <v>174</v>
      </c>
      <c r="N11">
        <v>57</v>
      </c>
      <c r="O11" t="s">
        <v>575</v>
      </c>
      <c r="Q11" t="s">
        <v>582</v>
      </c>
      <c r="R11" t="s">
        <v>579</v>
      </c>
      <c r="U11">
        <v>9</v>
      </c>
      <c r="V11">
        <v>8</v>
      </c>
      <c r="W11" t="s">
        <v>350</v>
      </c>
      <c r="X11" t="s">
        <v>349</v>
      </c>
      <c r="Y11" t="s">
        <v>580</v>
      </c>
      <c r="Z11">
        <v>2017</v>
      </c>
      <c r="AB11">
        <v>14</v>
      </c>
      <c r="AC11">
        <v>5.87</v>
      </c>
      <c r="AE11" t="s">
        <v>346</v>
      </c>
      <c r="AF11">
        <v>46.142674</v>
      </c>
      <c r="AG11">
        <v>-115.598088</v>
      </c>
      <c r="AH11">
        <v>14113988</v>
      </c>
    </row>
    <row r="12" spans="1:36">
      <c r="B12" t="s">
        <v>345</v>
      </c>
      <c r="C12" t="s">
        <v>577</v>
      </c>
      <c r="D12" s="3">
        <v>42859.341666666667</v>
      </c>
      <c r="F12">
        <v>2017</v>
      </c>
      <c r="G12" t="s">
        <v>578</v>
      </c>
      <c r="H12" t="s">
        <v>352</v>
      </c>
      <c r="J12">
        <v>0</v>
      </c>
      <c r="L12">
        <v>1</v>
      </c>
      <c r="M12">
        <v>164</v>
      </c>
      <c r="N12">
        <v>37</v>
      </c>
      <c r="O12" t="s">
        <v>575</v>
      </c>
      <c r="Q12" t="s">
        <v>576</v>
      </c>
      <c r="R12" t="s">
        <v>579</v>
      </c>
      <c r="U12">
        <v>9</v>
      </c>
      <c r="V12">
        <v>8</v>
      </c>
      <c r="W12" t="s">
        <v>350</v>
      </c>
      <c r="X12" t="s">
        <v>349</v>
      </c>
      <c r="Y12" t="s">
        <v>580</v>
      </c>
      <c r="Z12">
        <v>2017</v>
      </c>
      <c r="AB12">
        <v>14</v>
      </c>
      <c r="AC12">
        <v>5.87</v>
      </c>
      <c r="AE12" t="s">
        <v>346</v>
      </c>
      <c r="AF12">
        <v>46.142674</v>
      </c>
      <c r="AG12">
        <v>-115.598088</v>
      </c>
      <c r="AH12">
        <v>14113989</v>
      </c>
    </row>
    <row r="13" spans="1:36">
      <c r="B13" t="s">
        <v>345</v>
      </c>
      <c r="C13" t="s">
        <v>577</v>
      </c>
      <c r="D13" s="3">
        <v>42859.341666666667</v>
      </c>
      <c r="F13">
        <v>2017</v>
      </c>
      <c r="G13" t="s">
        <v>578</v>
      </c>
      <c r="H13" t="s">
        <v>352</v>
      </c>
      <c r="J13">
        <v>0</v>
      </c>
      <c r="L13">
        <v>1</v>
      </c>
      <c r="M13">
        <v>151</v>
      </c>
      <c r="N13">
        <v>41</v>
      </c>
      <c r="O13" t="s">
        <v>575</v>
      </c>
      <c r="Q13" t="s">
        <v>583</v>
      </c>
      <c r="R13" t="s">
        <v>579</v>
      </c>
      <c r="U13">
        <v>9</v>
      </c>
      <c r="V13">
        <v>8</v>
      </c>
      <c r="W13" t="s">
        <v>350</v>
      </c>
      <c r="X13" t="s">
        <v>349</v>
      </c>
      <c r="Y13" t="s">
        <v>580</v>
      </c>
      <c r="Z13">
        <v>2017</v>
      </c>
      <c r="AB13">
        <v>14</v>
      </c>
      <c r="AC13">
        <v>5.87</v>
      </c>
      <c r="AE13" t="s">
        <v>346</v>
      </c>
      <c r="AF13">
        <v>46.142674</v>
      </c>
      <c r="AG13">
        <v>-115.598088</v>
      </c>
      <c r="AH13">
        <v>14113990</v>
      </c>
    </row>
    <row r="14" spans="1:36">
      <c r="B14" t="s">
        <v>345</v>
      </c>
      <c r="C14" t="s">
        <v>577</v>
      </c>
      <c r="D14" s="3">
        <v>42859.341666666667</v>
      </c>
      <c r="F14">
        <v>2017</v>
      </c>
      <c r="G14" t="s">
        <v>578</v>
      </c>
      <c r="H14" t="s">
        <v>352</v>
      </c>
      <c r="J14">
        <v>0</v>
      </c>
      <c r="L14">
        <v>1</v>
      </c>
      <c r="M14">
        <v>162</v>
      </c>
      <c r="N14">
        <v>41</v>
      </c>
      <c r="O14" t="s">
        <v>575</v>
      </c>
      <c r="Q14" t="s">
        <v>584</v>
      </c>
      <c r="R14" t="s">
        <v>579</v>
      </c>
      <c r="U14">
        <v>9</v>
      </c>
      <c r="V14">
        <v>8</v>
      </c>
      <c r="W14" t="s">
        <v>350</v>
      </c>
      <c r="X14" t="s">
        <v>349</v>
      </c>
      <c r="Y14" t="s">
        <v>580</v>
      </c>
      <c r="Z14">
        <v>2017</v>
      </c>
      <c r="AB14">
        <v>14</v>
      </c>
      <c r="AC14">
        <v>5.87</v>
      </c>
      <c r="AE14" t="s">
        <v>346</v>
      </c>
      <c r="AF14">
        <v>46.142674</v>
      </c>
      <c r="AG14">
        <v>-115.598088</v>
      </c>
      <c r="AH14">
        <v>14113991</v>
      </c>
    </row>
    <row r="15" spans="1:36">
      <c r="B15" t="s">
        <v>345</v>
      </c>
      <c r="C15" t="s">
        <v>577</v>
      </c>
      <c r="D15" s="3">
        <v>42859.341666666667</v>
      </c>
      <c r="F15">
        <v>2017</v>
      </c>
      <c r="G15" t="s">
        <v>578</v>
      </c>
      <c r="H15" t="s">
        <v>352</v>
      </c>
      <c r="J15">
        <v>0</v>
      </c>
      <c r="L15">
        <v>1</v>
      </c>
      <c r="M15">
        <v>195</v>
      </c>
      <c r="N15">
        <v>73</v>
      </c>
      <c r="O15" t="s">
        <v>575</v>
      </c>
      <c r="Q15" t="s">
        <v>576</v>
      </c>
      <c r="R15" t="s">
        <v>579</v>
      </c>
      <c r="U15">
        <v>9</v>
      </c>
      <c r="V15">
        <v>8</v>
      </c>
      <c r="W15" t="s">
        <v>350</v>
      </c>
      <c r="X15" t="s">
        <v>349</v>
      </c>
      <c r="Y15" t="s">
        <v>580</v>
      </c>
      <c r="Z15">
        <v>2017</v>
      </c>
      <c r="AB15">
        <v>14</v>
      </c>
      <c r="AC15">
        <v>5.87</v>
      </c>
      <c r="AE15" t="s">
        <v>346</v>
      </c>
      <c r="AF15">
        <v>46.142674</v>
      </c>
      <c r="AG15">
        <v>-115.598088</v>
      </c>
      <c r="AH15">
        <v>14113992</v>
      </c>
    </row>
    <row r="16" spans="1:36">
      <c r="B16" t="s">
        <v>345</v>
      </c>
      <c r="C16" t="s">
        <v>577</v>
      </c>
      <c r="D16" s="3">
        <v>42859.341666666667</v>
      </c>
      <c r="F16">
        <v>2017</v>
      </c>
      <c r="G16" t="s">
        <v>578</v>
      </c>
      <c r="H16" t="s">
        <v>352</v>
      </c>
      <c r="J16">
        <v>0</v>
      </c>
      <c r="L16">
        <v>1</v>
      </c>
      <c r="M16">
        <v>166</v>
      </c>
      <c r="N16">
        <v>42</v>
      </c>
      <c r="O16" t="s">
        <v>575</v>
      </c>
      <c r="Q16" t="s">
        <v>576</v>
      </c>
      <c r="R16" t="s">
        <v>579</v>
      </c>
      <c r="U16">
        <v>9</v>
      </c>
      <c r="V16">
        <v>8</v>
      </c>
      <c r="W16" t="s">
        <v>350</v>
      </c>
      <c r="X16" t="s">
        <v>349</v>
      </c>
      <c r="Y16" t="s">
        <v>580</v>
      </c>
      <c r="Z16">
        <v>2017</v>
      </c>
      <c r="AB16">
        <v>14</v>
      </c>
      <c r="AC16">
        <v>5.87</v>
      </c>
      <c r="AE16" t="s">
        <v>346</v>
      </c>
      <c r="AF16">
        <v>46.142674</v>
      </c>
      <c r="AG16">
        <v>-115.598088</v>
      </c>
      <c r="AH16">
        <v>14113993</v>
      </c>
    </row>
    <row r="17" spans="2:34">
      <c r="B17" t="s">
        <v>345</v>
      </c>
      <c r="C17" t="s">
        <v>577</v>
      </c>
      <c r="D17" s="3">
        <v>42859.341666666667</v>
      </c>
      <c r="F17">
        <v>2017</v>
      </c>
      <c r="G17" t="s">
        <v>574</v>
      </c>
      <c r="H17" t="s">
        <v>352</v>
      </c>
      <c r="J17">
        <v>0</v>
      </c>
      <c r="L17">
        <v>1</v>
      </c>
      <c r="M17">
        <v>103</v>
      </c>
      <c r="N17">
        <v>16</v>
      </c>
      <c r="O17" t="s">
        <v>575</v>
      </c>
      <c r="Q17" t="s">
        <v>576</v>
      </c>
      <c r="R17" t="s">
        <v>579</v>
      </c>
      <c r="U17">
        <v>9</v>
      </c>
      <c r="V17">
        <v>8</v>
      </c>
      <c r="W17" t="s">
        <v>350</v>
      </c>
      <c r="X17" t="s">
        <v>349</v>
      </c>
      <c r="Y17" t="s">
        <v>580</v>
      </c>
      <c r="Z17">
        <v>2017</v>
      </c>
      <c r="AB17">
        <v>14</v>
      </c>
      <c r="AC17">
        <v>5.87</v>
      </c>
      <c r="AE17" t="s">
        <v>346</v>
      </c>
      <c r="AF17">
        <v>46.142674</v>
      </c>
      <c r="AG17">
        <v>-115.598088</v>
      </c>
      <c r="AH17">
        <v>14113994</v>
      </c>
    </row>
    <row r="18" spans="2:34">
      <c r="B18" t="s">
        <v>345</v>
      </c>
      <c r="C18" t="s">
        <v>577</v>
      </c>
      <c r="D18" s="3">
        <v>42859.341666666667</v>
      </c>
      <c r="F18">
        <v>2017</v>
      </c>
      <c r="G18" t="s">
        <v>578</v>
      </c>
      <c r="H18" t="s">
        <v>352</v>
      </c>
      <c r="J18">
        <v>0</v>
      </c>
      <c r="L18">
        <v>1</v>
      </c>
      <c r="M18">
        <v>193</v>
      </c>
      <c r="N18">
        <v>70</v>
      </c>
      <c r="O18" t="s">
        <v>575</v>
      </c>
      <c r="Q18" t="s">
        <v>576</v>
      </c>
      <c r="R18" t="s">
        <v>579</v>
      </c>
      <c r="U18">
        <v>9</v>
      </c>
      <c r="V18">
        <v>8</v>
      </c>
      <c r="W18" t="s">
        <v>350</v>
      </c>
      <c r="X18" t="s">
        <v>349</v>
      </c>
      <c r="Y18" t="s">
        <v>580</v>
      </c>
      <c r="Z18">
        <v>2017</v>
      </c>
      <c r="AB18">
        <v>14</v>
      </c>
      <c r="AC18">
        <v>5.87</v>
      </c>
      <c r="AE18" t="s">
        <v>346</v>
      </c>
      <c r="AF18">
        <v>46.142674</v>
      </c>
      <c r="AG18">
        <v>-115.598088</v>
      </c>
      <c r="AH18">
        <v>14113995</v>
      </c>
    </row>
    <row r="19" spans="2:34">
      <c r="B19" t="s">
        <v>345</v>
      </c>
      <c r="C19" t="s">
        <v>577</v>
      </c>
      <c r="D19" s="3">
        <v>42859.341666666667</v>
      </c>
      <c r="F19">
        <v>2017</v>
      </c>
      <c r="G19" t="s">
        <v>578</v>
      </c>
      <c r="H19" t="s">
        <v>352</v>
      </c>
      <c r="J19">
        <v>0</v>
      </c>
      <c r="L19">
        <v>1</v>
      </c>
      <c r="M19">
        <v>162</v>
      </c>
      <c r="N19">
        <v>39</v>
      </c>
      <c r="O19" t="s">
        <v>575</v>
      </c>
      <c r="Q19" t="s">
        <v>585</v>
      </c>
      <c r="R19" t="s">
        <v>579</v>
      </c>
      <c r="U19">
        <v>9</v>
      </c>
      <c r="V19">
        <v>8</v>
      </c>
      <c r="W19" t="s">
        <v>350</v>
      </c>
      <c r="X19" t="s">
        <v>349</v>
      </c>
      <c r="Y19" t="s">
        <v>580</v>
      </c>
      <c r="Z19">
        <v>2017</v>
      </c>
      <c r="AB19">
        <v>14</v>
      </c>
      <c r="AC19">
        <v>5.87</v>
      </c>
      <c r="AE19" t="s">
        <v>346</v>
      </c>
      <c r="AF19">
        <v>46.142674</v>
      </c>
      <c r="AG19">
        <v>-115.598088</v>
      </c>
      <c r="AH19">
        <v>14113996</v>
      </c>
    </row>
    <row r="20" spans="2:34">
      <c r="B20" t="s">
        <v>345</v>
      </c>
      <c r="C20" t="s">
        <v>577</v>
      </c>
      <c r="D20" s="3">
        <v>42859.341666666667</v>
      </c>
      <c r="F20">
        <v>2017</v>
      </c>
      <c r="G20" t="s">
        <v>578</v>
      </c>
      <c r="H20" t="s">
        <v>352</v>
      </c>
      <c r="J20">
        <v>0</v>
      </c>
      <c r="L20">
        <v>1</v>
      </c>
      <c r="M20">
        <v>195</v>
      </c>
      <c r="N20">
        <v>69</v>
      </c>
      <c r="O20" t="s">
        <v>575</v>
      </c>
      <c r="Q20" t="s">
        <v>586</v>
      </c>
      <c r="R20" t="s">
        <v>579</v>
      </c>
      <c r="U20">
        <v>9</v>
      </c>
      <c r="V20">
        <v>8</v>
      </c>
      <c r="W20" t="s">
        <v>350</v>
      </c>
      <c r="X20" t="s">
        <v>349</v>
      </c>
      <c r="Y20" t="s">
        <v>580</v>
      </c>
      <c r="Z20">
        <v>2017</v>
      </c>
      <c r="AB20">
        <v>14</v>
      </c>
      <c r="AC20">
        <v>5.87</v>
      </c>
      <c r="AE20" t="s">
        <v>346</v>
      </c>
      <c r="AF20">
        <v>46.142674</v>
      </c>
      <c r="AG20">
        <v>-115.598088</v>
      </c>
      <c r="AH20">
        <v>14113997</v>
      </c>
    </row>
    <row r="21" spans="2:34">
      <c r="B21" t="s">
        <v>345</v>
      </c>
      <c r="C21" t="s">
        <v>577</v>
      </c>
      <c r="D21" s="3">
        <v>42859.341666666667</v>
      </c>
      <c r="F21">
        <v>2017</v>
      </c>
      <c r="G21" t="s">
        <v>578</v>
      </c>
      <c r="H21" t="s">
        <v>352</v>
      </c>
      <c r="J21">
        <v>0</v>
      </c>
      <c r="L21">
        <v>1</v>
      </c>
      <c r="M21">
        <v>174</v>
      </c>
      <c r="N21">
        <v>47</v>
      </c>
      <c r="O21" t="s">
        <v>575</v>
      </c>
      <c r="Q21" t="s">
        <v>587</v>
      </c>
      <c r="R21" t="s">
        <v>579</v>
      </c>
      <c r="U21">
        <v>9</v>
      </c>
      <c r="V21">
        <v>8</v>
      </c>
      <c r="W21" t="s">
        <v>350</v>
      </c>
      <c r="X21" t="s">
        <v>349</v>
      </c>
      <c r="Y21" t="s">
        <v>580</v>
      </c>
      <c r="Z21">
        <v>2017</v>
      </c>
      <c r="AB21">
        <v>14</v>
      </c>
      <c r="AC21">
        <v>5.87</v>
      </c>
      <c r="AE21" t="s">
        <v>346</v>
      </c>
      <c r="AF21">
        <v>46.142674</v>
      </c>
      <c r="AG21">
        <v>-115.598088</v>
      </c>
      <c r="AH21">
        <v>14113998</v>
      </c>
    </row>
    <row r="22" spans="2:34">
      <c r="B22" t="s">
        <v>345</v>
      </c>
      <c r="C22" t="s">
        <v>577</v>
      </c>
      <c r="D22" s="3">
        <v>42859.341666666667</v>
      </c>
      <c r="F22">
        <v>2017</v>
      </c>
      <c r="G22" t="s">
        <v>578</v>
      </c>
      <c r="H22" t="s">
        <v>352</v>
      </c>
      <c r="J22">
        <v>0</v>
      </c>
      <c r="L22">
        <v>1</v>
      </c>
      <c r="M22">
        <v>175</v>
      </c>
      <c r="N22">
        <v>42</v>
      </c>
      <c r="O22" t="s">
        <v>575</v>
      </c>
      <c r="Q22" t="s">
        <v>576</v>
      </c>
      <c r="R22" t="s">
        <v>579</v>
      </c>
      <c r="U22">
        <v>9</v>
      </c>
      <c r="V22">
        <v>8</v>
      </c>
      <c r="W22" t="s">
        <v>350</v>
      </c>
      <c r="X22" t="s">
        <v>349</v>
      </c>
      <c r="Y22" t="s">
        <v>580</v>
      </c>
      <c r="Z22">
        <v>2017</v>
      </c>
      <c r="AB22">
        <v>14</v>
      </c>
      <c r="AC22">
        <v>5.87</v>
      </c>
      <c r="AE22" t="s">
        <v>346</v>
      </c>
      <c r="AF22">
        <v>46.142674</v>
      </c>
      <c r="AG22">
        <v>-115.598088</v>
      </c>
      <c r="AH22">
        <v>14113999</v>
      </c>
    </row>
    <row r="23" spans="2:34">
      <c r="B23" t="s">
        <v>345</v>
      </c>
      <c r="C23" t="s">
        <v>577</v>
      </c>
      <c r="D23" s="3">
        <v>42859.341666666667</v>
      </c>
      <c r="F23">
        <v>2017</v>
      </c>
      <c r="G23" t="s">
        <v>578</v>
      </c>
      <c r="H23" t="s">
        <v>352</v>
      </c>
      <c r="J23">
        <v>0</v>
      </c>
      <c r="L23">
        <v>1</v>
      </c>
      <c r="M23">
        <v>175</v>
      </c>
      <c r="N23">
        <v>50</v>
      </c>
      <c r="O23" t="s">
        <v>575</v>
      </c>
      <c r="Q23" t="s">
        <v>576</v>
      </c>
      <c r="R23" t="s">
        <v>579</v>
      </c>
      <c r="U23">
        <v>9</v>
      </c>
      <c r="V23">
        <v>8</v>
      </c>
      <c r="W23" t="s">
        <v>350</v>
      </c>
      <c r="X23" t="s">
        <v>349</v>
      </c>
      <c r="Y23" t="s">
        <v>580</v>
      </c>
      <c r="Z23">
        <v>2017</v>
      </c>
      <c r="AB23">
        <v>14</v>
      </c>
      <c r="AC23">
        <v>5.87</v>
      </c>
      <c r="AE23" t="s">
        <v>346</v>
      </c>
      <c r="AF23">
        <v>46.142674</v>
      </c>
      <c r="AG23">
        <v>-115.598088</v>
      </c>
      <c r="AH23">
        <v>14114000</v>
      </c>
    </row>
    <row r="24" spans="2:34">
      <c r="B24" t="s">
        <v>345</v>
      </c>
      <c r="C24" t="s">
        <v>577</v>
      </c>
      <c r="D24" s="3">
        <v>42859.341666666667</v>
      </c>
      <c r="F24">
        <v>2017</v>
      </c>
      <c r="G24" t="s">
        <v>578</v>
      </c>
      <c r="H24" t="s">
        <v>352</v>
      </c>
      <c r="J24">
        <v>0</v>
      </c>
      <c r="L24">
        <v>1</v>
      </c>
      <c r="M24">
        <v>153</v>
      </c>
      <c r="N24">
        <v>34</v>
      </c>
      <c r="O24" t="s">
        <v>575</v>
      </c>
      <c r="Q24" t="s">
        <v>576</v>
      </c>
      <c r="R24" t="s">
        <v>579</v>
      </c>
      <c r="U24">
        <v>9</v>
      </c>
      <c r="V24">
        <v>8</v>
      </c>
      <c r="W24" t="s">
        <v>350</v>
      </c>
      <c r="X24" t="s">
        <v>349</v>
      </c>
      <c r="Y24" t="s">
        <v>580</v>
      </c>
      <c r="Z24">
        <v>2017</v>
      </c>
      <c r="AB24">
        <v>14</v>
      </c>
      <c r="AC24">
        <v>5.87</v>
      </c>
      <c r="AE24" t="s">
        <v>346</v>
      </c>
      <c r="AF24">
        <v>46.142674</v>
      </c>
      <c r="AG24">
        <v>-115.598088</v>
      </c>
      <c r="AH24">
        <v>14114001</v>
      </c>
    </row>
    <row r="25" spans="2:34">
      <c r="B25" t="s">
        <v>345</v>
      </c>
      <c r="C25" t="s">
        <v>577</v>
      </c>
      <c r="D25" s="3">
        <v>42859.341666666667</v>
      </c>
      <c r="F25">
        <v>2017</v>
      </c>
      <c r="G25" t="s">
        <v>578</v>
      </c>
      <c r="H25" t="s">
        <v>352</v>
      </c>
      <c r="J25">
        <v>0</v>
      </c>
      <c r="L25">
        <v>1</v>
      </c>
      <c r="M25">
        <v>179</v>
      </c>
      <c r="N25">
        <v>49</v>
      </c>
      <c r="O25" t="s">
        <v>575</v>
      </c>
      <c r="Q25" t="s">
        <v>588</v>
      </c>
      <c r="R25" t="s">
        <v>579</v>
      </c>
      <c r="U25">
        <v>9</v>
      </c>
      <c r="V25">
        <v>8</v>
      </c>
      <c r="W25" t="s">
        <v>350</v>
      </c>
      <c r="X25" t="s">
        <v>349</v>
      </c>
      <c r="Y25" t="s">
        <v>580</v>
      </c>
      <c r="Z25">
        <v>2017</v>
      </c>
      <c r="AB25">
        <v>14</v>
      </c>
      <c r="AC25">
        <v>5.87</v>
      </c>
      <c r="AE25" t="s">
        <v>346</v>
      </c>
      <c r="AF25">
        <v>46.142674</v>
      </c>
      <c r="AG25">
        <v>-115.598088</v>
      </c>
      <c r="AH25">
        <v>14114002</v>
      </c>
    </row>
    <row r="26" spans="2:34">
      <c r="B26" t="s">
        <v>345</v>
      </c>
      <c r="C26" t="s">
        <v>577</v>
      </c>
      <c r="D26" s="3">
        <v>42859.341666666667</v>
      </c>
      <c r="F26">
        <v>2017</v>
      </c>
      <c r="G26" t="s">
        <v>578</v>
      </c>
      <c r="H26" t="s">
        <v>352</v>
      </c>
      <c r="J26">
        <v>0</v>
      </c>
      <c r="L26">
        <v>1</v>
      </c>
      <c r="M26">
        <v>176</v>
      </c>
      <c r="N26">
        <v>39</v>
      </c>
      <c r="O26" t="s">
        <v>575</v>
      </c>
      <c r="Q26" t="s">
        <v>576</v>
      </c>
      <c r="R26" t="s">
        <v>579</v>
      </c>
      <c r="U26">
        <v>9</v>
      </c>
      <c r="V26">
        <v>8</v>
      </c>
      <c r="W26" t="s">
        <v>350</v>
      </c>
      <c r="X26" t="s">
        <v>349</v>
      </c>
      <c r="Y26" t="s">
        <v>580</v>
      </c>
      <c r="Z26">
        <v>2017</v>
      </c>
      <c r="AB26">
        <v>14</v>
      </c>
      <c r="AC26">
        <v>5.87</v>
      </c>
      <c r="AE26" t="s">
        <v>346</v>
      </c>
      <c r="AF26">
        <v>46.142674</v>
      </c>
      <c r="AG26">
        <v>-115.598088</v>
      </c>
      <c r="AH26">
        <v>14114003</v>
      </c>
    </row>
    <row r="27" spans="2:34">
      <c r="B27" t="s">
        <v>345</v>
      </c>
      <c r="C27" t="s">
        <v>577</v>
      </c>
      <c r="D27" s="3">
        <v>42859.341666666667</v>
      </c>
      <c r="F27">
        <v>2017</v>
      </c>
      <c r="G27" t="s">
        <v>578</v>
      </c>
      <c r="H27" t="s">
        <v>352</v>
      </c>
      <c r="J27">
        <v>0</v>
      </c>
      <c r="L27">
        <v>1</v>
      </c>
      <c r="M27">
        <v>151</v>
      </c>
      <c r="N27">
        <v>33</v>
      </c>
      <c r="O27" t="s">
        <v>575</v>
      </c>
      <c r="Q27" t="s">
        <v>576</v>
      </c>
      <c r="R27" t="s">
        <v>579</v>
      </c>
      <c r="U27">
        <v>9</v>
      </c>
      <c r="V27">
        <v>8</v>
      </c>
      <c r="W27" t="s">
        <v>350</v>
      </c>
      <c r="X27" t="s">
        <v>349</v>
      </c>
      <c r="Y27" t="s">
        <v>580</v>
      </c>
      <c r="Z27">
        <v>2017</v>
      </c>
      <c r="AB27">
        <v>14</v>
      </c>
      <c r="AC27">
        <v>5.87</v>
      </c>
      <c r="AE27" t="s">
        <v>346</v>
      </c>
      <c r="AF27">
        <v>46.142674</v>
      </c>
      <c r="AG27">
        <v>-115.598088</v>
      </c>
      <c r="AH27">
        <v>14114004</v>
      </c>
    </row>
    <row r="28" spans="2:34">
      <c r="B28" t="s">
        <v>345</v>
      </c>
      <c r="C28" t="s">
        <v>577</v>
      </c>
      <c r="D28" s="3">
        <v>42859.341666666667</v>
      </c>
      <c r="F28">
        <v>2017</v>
      </c>
      <c r="G28" t="s">
        <v>578</v>
      </c>
      <c r="H28" t="s">
        <v>352</v>
      </c>
      <c r="J28">
        <v>0</v>
      </c>
      <c r="L28">
        <v>1</v>
      </c>
      <c r="M28">
        <v>185</v>
      </c>
      <c r="N28">
        <v>53</v>
      </c>
      <c r="O28" t="s">
        <v>575</v>
      </c>
      <c r="Q28" t="s">
        <v>589</v>
      </c>
      <c r="R28" t="s">
        <v>579</v>
      </c>
      <c r="U28">
        <v>9</v>
      </c>
      <c r="V28">
        <v>8</v>
      </c>
      <c r="W28" t="s">
        <v>350</v>
      </c>
      <c r="X28" t="s">
        <v>349</v>
      </c>
      <c r="Y28" t="s">
        <v>580</v>
      </c>
      <c r="Z28">
        <v>2017</v>
      </c>
      <c r="AB28">
        <v>14</v>
      </c>
      <c r="AC28">
        <v>5.87</v>
      </c>
      <c r="AE28" t="s">
        <v>346</v>
      </c>
      <c r="AF28">
        <v>46.142674</v>
      </c>
      <c r="AG28">
        <v>-115.598088</v>
      </c>
      <c r="AH28">
        <v>14114005</v>
      </c>
    </row>
    <row r="29" spans="2:34">
      <c r="B29" t="s">
        <v>345</v>
      </c>
      <c r="C29" t="s">
        <v>577</v>
      </c>
      <c r="D29" s="3">
        <v>42859.341666666667</v>
      </c>
      <c r="F29">
        <v>2017</v>
      </c>
      <c r="G29" t="s">
        <v>578</v>
      </c>
      <c r="H29" t="s">
        <v>352</v>
      </c>
      <c r="J29">
        <v>0</v>
      </c>
      <c r="L29">
        <v>1</v>
      </c>
      <c r="M29">
        <v>182</v>
      </c>
      <c r="N29">
        <v>55</v>
      </c>
      <c r="O29" t="s">
        <v>575</v>
      </c>
      <c r="Q29" t="s">
        <v>576</v>
      </c>
      <c r="R29" t="s">
        <v>579</v>
      </c>
      <c r="U29">
        <v>9</v>
      </c>
      <c r="V29">
        <v>8</v>
      </c>
      <c r="W29" t="s">
        <v>350</v>
      </c>
      <c r="X29" t="s">
        <v>349</v>
      </c>
      <c r="Y29" t="s">
        <v>580</v>
      </c>
      <c r="Z29">
        <v>2017</v>
      </c>
      <c r="AB29">
        <v>14</v>
      </c>
      <c r="AC29">
        <v>5.87</v>
      </c>
      <c r="AE29" t="s">
        <v>346</v>
      </c>
      <c r="AF29">
        <v>46.142674</v>
      </c>
      <c r="AG29">
        <v>-115.598088</v>
      </c>
      <c r="AH29">
        <v>14114006</v>
      </c>
    </row>
    <row r="30" spans="2:34">
      <c r="B30" t="s">
        <v>345</v>
      </c>
      <c r="C30" t="s">
        <v>577</v>
      </c>
      <c r="D30" s="3">
        <v>42859.341666666667</v>
      </c>
      <c r="F30">
        <v>2017</v>
      </c>
      <c r="G30" t="s">
        <v>578</v>
      </c>
      <c r="H30" t="s">
        <v>352</v>
      </c>
      <c r="J30">
        <v>0</v>
      </c>
      <c r="L30">
        <v>1</v>
      </c>
      <c r="M30">
        <v>196</v>
      </c>
      <c r="N30">
        <v>59</v>
      </c>
      <c r="O30" t="s">
        <v>575</v>
      </c>
      <c r="Q30" t="s">
        <v>590</v>
      </c>
      <c r="R30" t="s">
        <v>579</v>
      </c>
      <c r="U30">
        <v>9</v>
      </c>
      <c r="V30">
        <v>8</v>
      </c>
      <c r="W30" t="s">
        <v>350</v>
      </c>
      <c r="X30" t="s">
        <v>349</v>
      </c>
      <c r="Y30" t="s">
        <v>580</v>
      </c>
      <c r="Z30">
        <v>2017</v>
      </c>
      <c r="AB30">
        <v>14</v>
      </c>
      <c r="AC30">
        <v>5.87</v>
      </c>
      <c r="AE30" t="s">
        <v>346</v>
      </c>
      <c r="AF30">
        <v>46.142674</v>
      </c>
      <c r="AG30">
        <v>-115.598088</v>
      </c>
      <c r="AH30">
        <v>14114007</v>
      </c>
    </row>
    <row r="31" spans="2:34">
      <c r="B31" t="s">
        <v>345</v>
      </c>
      <c r="C31" t="s">
        <v>577</v>
      </c>
      <c r="D31" s="3">
        <v>42859.341666666667</v>
      </c>
      <c r="F31">
        <v>2017</v>
      </c>
      <c r="G31" t="s">
        <v>578</v>
      </c>
      <c r="H31" t="s">
        <v>352</v>
      </c>
      <c r="J31">
        <v>0</v>
      </c>
      <c r="L31">
        <v>1</v>
      </c>
      <c r="M31">
        <v>150</v>
      </c>
      <c r="N31">
        <v>32</v>
      </c>
      <c r="O31" t="s">
        <v>575</v>
      </c>
      <c r="Q31" t="s">
        <v>576</v>
      </c>
      <c r="R31" t="s">
        <v>579</v>
      </c>
      <c r="U31">
        <v>9</v>
      </c>
      <c r="V31">
        <v>8</v>
      </c>
      <c r="W31" t="s">
        <v>350</v>
      </c>
      <c r="X31" t="s">
        <v>349</v>
      </c>
      <c r="Y31" t="s">
        <v>580</v>
      </c>
      <c r="Z31">
        <v>2017</v>
      </c>
      <c r="AB31">
        <v>14</v>
      </c>
      <c r="AC31">
        <v>5.87</v>
      </c>
      <c r="AE31" t="s">
        <v>346</v>
      </c>
      <c r="AF31">
        <v>46.142674</v>
      </c>
      <c r="AG31">
        <v>-115.598088</v>
      </c>
      <c r="AH31">
        <v>14114008</v>
      </c>
    </row>
    <row r="32" spans="2:34">
      <c r="B32" t="s">
        <v>345</v>
      </c>
      <c r="C32" t="s">
        <v>577</v>
      </c>
      <c r="D32" s="3">
        <v>42859.341666666667</v>
      </c>
      <c r="F32">
        <v>2017</v>
      </c>
      <c r="G32" t="s">
        <v>578</v>
      </c>
      <c r="H32" t="s">
        <v>352</v>
      </c>
      <c r="J32">
        <v>0</v>
      </c>
      <c r="L32">
        <v>1</v>
      </c>
      <c r="M32">
        <v>199</v>
      </c>
      <c r="N32">
        <v>64</v>
      </c>
      <c r="O32" t="s">
        <v>575</v>
      </c>
      <c r="Q32" t="s">
        <v>576</v>
      </c>
      <c r="R32" t="s">
        <v>579</v>
      </c>
      <c r="U32">
        <v>9</v>
      </c>
      <c r="V32">
        <v>8</v>
      </c>
      <c r="W32" t="s">
        <v>350</v>
      </c>
      <c r="X32" t="s">
        <v>349</v>
      </c>
      <c r="Y32" t="s">
        <v>580</v>
      </c>
      <c r="Z32">
        <v>2017</v>
      </c>
      <c r="AB32">
        <v>14</v>
      </c>
      <c r="AC32">
        <v>5.87</v>
      </c>
      <c r="AE32" t="s">
        <v>346</v>
      </c>
      <c r="AF32">
        <v>46.142674</v>
      </c>
      <c r="AG32">
        <v>-115.598088</v>
      </c>
      <c r="AH32">
        <v>14114009</v>
      </c>
    </row>
    <row r="33" spans="2:34">
      <c r="B33" t="s">
        <v>345</v>
      </c>
      <c r="C33" t="s">
        <v>577</v>
      </c>
      <c r="D33" s="3">
        <v>42859.341666666667</v>
      </c>
      <c r="F33">
        <v>2017</v>
      </c>
      <c r="G33" t="s">
        <v>578</v>
      </c>
      <c r="H33" t="s">
        <v>352</v>
      </c>
      <c r="J33">
        <v>0</v>
      </c>
      <c r="L33">
        <v>1</v>
      </c>
      <c r="M33">
        <v>192</v>
      </c>
      <c r="N33">
        <v>60</v>
      </c>
      <c r="O33" t="s">
        <v>575</v>
      </c>
      <c r="Q33" t="s">
        <v>591</v>
      </c>
      <c r="R33" t="s">
        <v>579</v>
      </c>
      <c r="U33">
        <v>9</v>
      </c>
      <c r="V33">
        <v>8</v>
      </c>
      <c r="W33" t="s">
        <v>350</v>
      </c>
      <c r="X33" t="s">
        <v>349</v>
      </c>
      <c r="Y33" t="s">
        <v>580</v>
      </c>
      <c r="Z33">
        <v>2017</v>
      </c>
      <c r="AB33">
        <v>14</v>
      </c>
      <c r="AC33">
        <v>5.87</v>
      </c>
      <c r="AE33" t="s">
        <v>346</v>
      </c>
      <c r="AF33">
        <v>46.142674</v>
      </c>
      <c r="AG33">
        <v>-115.598088</v>
      </c>
      <c r="AH33">
        <v>14114010</v>
      </c>
    </row>
    <row r="34" spans="2:34">
      <c r="B34" t="s">
        <v>345</v>
      </c>
      <c r="C34" t="s">
        <v>577</v>
      </c>
      <c r="D34" s="3">
        <v>42859.341666666667</v>
      </c>
      <c r="F34">
        <v>2017</v>
      </c>
      <c r="G34" t="s">
        <v>578</v>
      </c>
      <c r="H34" t="s">
        <v>352</v>
      </c>
      <c r="J34">
        <v>0</v>
      </c>
      <c r="L34">
        <v>1</v>
      </c>
      <c r="M34">
        <v>173</v>
      </c>
      <c r="N34">
        <v>47</v>
      </c>
      <c r="O34" t="s">
        <v>575</v>
      </c>
      <c r="Q34" t="s">
        <v>592</v>
      </c>
      <c r="R34" t="s">
        <v>579</v>
      </c>
      <c r="U34">
        <v>9</v>
      </c>
      <c r="V34">
        <v>8</v>
      </c>
      <c r="W34" t="s">
        <v>350</v>
      </c>
      <c r="X34" t="s">
        <v>349</v>
      </c>
      <c r="Y34" t="s">
        <v>580</v>
      </c>
      <c r="Z34">
        <v>2017</v>
      </c>
      <c r="AB34">
        <v>14</v>
      </c>
      <c r="AC34">
        <v>5.87</v>
      </c>
      <c r="AE34" t="s">
        <v>346</v>
      </c>
      <c r="AF34">
        <v>46.142674</v>
      </c>
      <c r="AG34">
        <v>-115.598088</v>
      </c>
      <c r="AH34">
        <v>14114011</v>
      </c>
    </row>
    <row r="35" spans="2:34">
      <c r="B35" t="s">
        <v>345</v>
      </c>
      <c r="C35" t="s">
        <v>577</v>
      </c>
      <c r="D35" s="3">
        <v>42859.341666666667</v>
      </c>
      <c r="F35">
        <v>2017</v>
      </c>
      <c r="G35" t="s">
        <v>578</v>
      </c>
      <c r="H35" t="s">
        <v>352</v>
      </c>
      <c r="J35">
        <v>0</v>
      </c>
      <c r="L35">
        <v>1</v>
      </c>
      <c r="M35">
        <v>190</v>
      </c>
      <c r="N35">
        <v>64</v>
      </c>
      <c r="O35" t="s">
        <v>575</v>
      </c>
      <c r="Q35" t="s">
        <v>576</v>
      </c>
      <c r="R35" t="s">
        <v>579</v>
      </c>
      <c r="U35">
        <v>9</v>
      </c>
      <c r="V35">
        <v>8</v>
      </c>
      <c r="W35" t="s">
        <v>350</v>
      </c>
      <c r="X35" t="s">
        <v>349</v>
      </c>
      <c r="Y35" t="s">
        <v>580</v>
      </c>
      <c r="Z35">
        <v>2017</v>
      </c>
      <c r="AB35">
        <v>14</v>
      </c>
      <c r="AC35">
        <v>5.87</v>
      </c>
      <c r="AE35" t="s">
        <v>346</v>
      </c>
      <c r="AF35">
        <v>46.142674</v>
      </c>
      <c r="AG35">
        <v>-115.598088</v>
      </c>
      <c r="AH35">
        <v>14114012</v>
      </c>
    </row>
    <row r="36" spans="2:34">
      <c r="B36" t="s">
        <v>345</v>
      </c>
      <c r="C36" t="s">
        <v>577</v>
      </c>
      <c r="D36" s="3">
        <v>42859.341666666667</v>
      </c>
      <c r="F36">
        <v>2017</v>
      </c>
      <c r="G36" t="s">
        <v>578</v>
      </c>
      <c r="H36" t="s">
        <v>352</v>
      </c>
      <c r="J36">
        <v>0</v>
      </c>
      <c r="L36">
        <v>1</v>
      </c>
      <c r="M36">
        <v>179</v>
      </c>
      <c r="N36">
        <v>52</v>
      </c>
      <c r="O36" t="s">
        <v>575</v>
      </c>
      <c r="Q36" t="s">
        <v>576</v>
      </c>
      <c r="R36" t="s">
        <v>579</v>
      </c>
      <c r="U36">
        <v>9</v>
      </c>
      <c r="V36">
        <v>8</v>
      </c>
      <c r="W36" t="s">
        <v>350</v>
      </c>
      <c r="X36" t="s">
        <v>349</v>
      </c>
      <c r="Y36" t="s">
        <v>580</v>
      </c>
      <c r="Z36">
        <v>2017</v>
      </c>
      <c r="AB36">
        <v>14</v>
      </c>
      <c r="AC36">
        <v>5.87</v>
      </c>
      <c r="AE36" t="s">
        <v>346</v>
      </c>
      <c r="AF36">
        <v>46.142674</v>
      </c>
      <c r="AG36">
        <v>-115.598088</v>
      </c>
      <c r="AH36">
        <v>14114013</v>
      </c>
    </row>
    <row r="37" spans="2:34">
      <c r="B37" t="s">
        <v>345</v>
      </c>
      <c r="C37" t="s">
        <v>577</v>
      </c>
      <c r="D37" s="3">
        <v>42859.341666666667</v>
      </c>
      <c r="F37">
        <v>2017</v>
      </c>
      <c r="G37" t="s">
        <v>578</v>
      </c>
      <c r="H37" t="s">
        <v>352</v>
      </c>
      <c r="J37">
        <v>0</v>
      </c>
      <c r="L37">
        <v>1</v>
      </c>
      <c r="M37">
        <v>166</v>
      </c>
      <c r="N37">
        <v>42</v>
      </c>
      <c r="O37" t="s">
        <v>575</v>
      </c>
      <c r="Q37" t="s">
        <v>576</v>
      </c>
      <c r="R37" t="s">
        <v>579</v>
      </c>
      <c r="U37">
        <v>9</v>
      </c>
      <c r="V37">
        <v>8</v>
      </c>
      <c r="W37" t="s">
        <v>350</v>
      </c>
      <c r="X37" t="s">
        <v>349</v>
      </c>
      <c r="Y37" t="s">
        <v>580</v>
      </c>
      <c r="Z37">
        <v>2017</v>
      </c>
      <c r="AB37">
        <v>14</v>
      </c>
      <c r="AC37">
        <v>5.87</v>
      </c>
      <c r="AE37" t="s">
        <v>346</v>
      </c>
      <c r="AF37">
        <v>46.142674</v>
      </c>
      <c r="AG37">
        <v>-115.598088</v>
      </c>
      <c r="AH37">
        <v>14114014</v>
      </c>
    </row>
    <row r="38" spans="2:34">
      <c r="B38" t="s">
        <v>345</v>
      </c>
      <c r="C38" t="s">
        <v>577</v>
      </c>
      <c r="D38" s="3">
        <v>42859.341666666667</v>
      </c>
      <c r="F38">
        <v>2017</v>
      </c>
      <c r="G38" t="s">
        <v>578</v>
      </c>
      <c r="H38" t="s">
        <v>352</v>
      </c>
      <c r="J38">
        <v>0</v>
      </c>
      <c r="L38">
        <v>1</v>
      </c>
      <c r="M38">
        <v>192</v>
      </c>
      <c r="N38">
        <v>64</v>
      </c>
      <c r="O38" t="s">
        <v>575</v>
      </c>
      <c r="Q38" t="s">
        <v>593</v>
      </c>
      <c r="R38" t="s">
        <v>579</v>
      </c>
      <c r="U38">
        <v>9</v>
      </c>
      <c r="V38">
        <v>8</v>
      </c>
      <c r="W38" t="s">
        <v>350</v>
      </c>
      <c r="X38" t="s">
        <v>349</v>
      </c>
      <c r="Y38" t="s">
        <v>580</v>
      </c>
      <c r="Z38">
        <v>2017</v>
      </c>
      <c r="AB38">
        <v>14</v>
      </c>
      <c r="AC38">
        <v>5.87</v>
      </c>
      <c r="AE38" t="s">
        <v>346</v>
      </c>
      <c r="AF38">
        <v>46.142674</v>
      </c>
      <c r="AG38">
        <v>-115.598088</v>
      </c>
      <c r="AH38">
        <v>14114015</v>
      </c>
    </row>
    <row r="39" spans="2:34">
      <c r="B39" t="s">
        <v>345</v>
      </c>
      <c r="C39" t="s">
        <v>577</v>
      </c>
      <c r="D39" s="3">
        <v>42859.341666666667</v>
      </c>
      <c r="F39">
        <v>2017</v>
      </c>
      <c r="G39" t="s">
        <v>578</v>
      </c>
      <c r="H39" t="s">
        <v>352</v>
      </c>
      <c r="J39">
        <v>0</v>
      </c>
      <c r="L39">
        <v>1</v>
      </c>
      <c r="M39">
        <v>160</v>
      </c>
      <c r="N39">
        <v>38</v>
      </c>
      <c r="O39" t="s">
        <v>575</v>
      </c>
      <c r="Q39" t="s">
        <v>576</v>
      </c>
      <c r="R39" t="s">
        <v>579</v>
      </c>
      <c r="U39">
        <v>9</v>
      </c>
      <c r="V39">
        <v>8</v>
      </c>
      <c r="W39" t="s">
        <v>350</v>
      </c>
      <c r="X39" t="s">
        <v>349</v>
      </c>
      <c r="Y39" t="s">
        <v>580</v>
      </c>
      <c r="Z39">
        <v>2017</v>
      </c>
      <c r="AB39">
        <v>14</v>
      </c>
      <c r="AC39">
        <v>5.87</v>
      </c>
      <c r="AE39" t="s">
        <v>346</v>
      </c>
      <c r="AF39">
        <v>46.142674</v>
      </c>
      <c r="AG39">
        <v>-115.598088</v>
      </c>
      <c r="AH39">
        <v>14114016</v>
      </c>
    </row>
    <row r="40" spans="2:34">
      <c r="B40" t="s">
        <v>345</v>
      </c>
      <c r="C40" t="s">
        <v>577</v>
      </c>
      <c r="D40" s="3">
        <v>42859.341666666667</v>
      </c>
      <c r="F40">
        <v>2017</v>
      </c>
      <c r="G40" t="s">
        <v>578</v>
      </c>
      <c r="H40" t="s">
        <v>352</v>
      </c>
      <c r="J40">
        <v>0</v>
      </c>
      <c r="L40">
        <v>1</v>
      </c>
      <c r="M40">
        <v>160</v>
      </c>
      <c r="N40">
        <v>38</v>
      </c>
      <c r="O40" t="s">
        <v>575</v>
      </c>
      <c r="Q40" t="s">
        <v>576</v>
      </c>
      <c r="R40" t="s">
        <v>579</v>
      </c>
      <c r="U40">
        <v>9</v>
      </c>
      <c r="V40">
        <v>8</v>
      </c>
      <c r="W40" t="s">
        <v>350</v>
      </c>
      <c r="X40" t="s">
        <v>349</v>
      </c>
      <c r="Y40" t="s">
        <v>580</v>
      </c>
      <c r="Z40">
        <v>2017</v>
      </c>
      <c r="AB40">
        <v>14</v>
      </c>
      <c r="AC40">
        <v>5.87</v>
      </c>
      <c r="AE40" t="s">
        <v>346</v>
      </c>
      <c r="AF40">
        <v>46.142674</v>
      </c>
      <c r="AG40">
        <v>-115.598088</v>
      </c>
      <c r="AH40">
        <v>14114017</v>
      </c>
    </row>
    <row r="41" spans="2:34">
      <c r="B41" t="s">
        <v>345</v>
      </c>
      <c r="C41" t="s">
        <v>577</v>
      </c>
      <c r="D41" s="3">
        <v>42859.341666666667</v>
      </c>
      <c r="F41">
        <v>2017</v>
      </c>
      <c r="G41" t="s">
        <v>578</v>
      </c>
      <c r="H41" t="s">
        <v>352</v>
      </c>
      <c r="J41">
        <v>0</v>
      </c>
      <c r="L41">
        <v>1</v>
      </c>
      <c r="M41">
        <v>189</v>
      </c>
      <c r="N41">
        <v>65</v>
      </c>
      <c r="O41" t="s">
        <v>575</v>
      </c>
      <c r="Q41" t="s">
        <v>576</v>
      </c>
      <c r="R41" t="s">
        <v>579</v>
      </c>
      <c r="U41">
        <v>9</v>
      </c>
      <c r="V41">
        <v>8</v>
      </c>
      <c r="W41" t="s">
        <v>350</v>
      </c>
      <c r="X41" t="s">
        <v>349</v>
      </c>
      <c r="Y41" t="s">
        <v>580</v>
      </c>
      <c r="Z41">
        <v>2017</v>
      </c>
      <c r="AB41">
        <v>14</v>
      </c>
      <c r="AC41">
        <v>5.87</v>
      </c>
      <c r="AE41" t="s">
        <v>346</v>
      </c>
      <c r="AF41">
        <v>46.142674</v>
      </c>
      <c r="AG41">
        <v>-115.598088</v>
      </c>
      <c r="AH41">
        <v>14114018</v>
      </c>
    </row>
    <row r="42" spans="2:34">
      <c r="B42" t="s">
        <v>345</v>
      </c>
      <c r="C42" t="s">
        <v>577</v>
      </c>
      <c r="D42" s="3">
        <v>42859.341666666667</v>
      </c>
      <c r="F42">
        <v>2017</v>
      </c>
      <c r="G42" t="s">
        <v>578</v>
      </c>
      <c r="H42" t="s">
        <v>352</v>
      </c>
      <c r="J42">
        <v>0</v>
      </c>
      <c r="L42">
        <v>1</v>
      </c>
      <c r="M42">
        <v>168</v>
      </c>
      <c r="N42">
        <v>44</v>
      </c>
      <c r="O42" t="s">
        <v>575</v>
      </c>
      <c r="Q42" t="s">
        <v>576</v>
      </c>
      <c r="R42" t="s">
        <v>579</v>
      </c>
      <c r="U42">
        <v>9</v>
      </c>
      <c r="V42">
        <v>8</v>
      </c>
      <c r="W42" t="s">
        <v>350</v>
      </c>
      <c r="X42" t="s">
        <v>349</v>
      </c>
      <c r="Y42" t="s">
        <v>580</v>
      </c>
      <c r="Z42">
        <v>2017</v>
      </c>
      <c r="AB42">
        <v>14</v>
      </c>
      <c r="AC42">
        <v>5.87</v>
      </c>
      <c r="AE42" t="s">
        <v>346</v>
      </c>
      <c r="AF42">
        <v>46.142674</v>
      </c>
      <c r="AG42">
        <v>-115.598088</v>
      </c>
      <c r="AH42">
        <v>14114019</v>
      </c>
    </row>
    <row r="43" spans="2:34">
      <c r="B43" t="s">
        <v>345</v>
      </c>
      <c r="C43" t="s">
        <v>577</v>
      </c>
      <c r="D43" s="3">
        <v>42859.341666666667</v>
      </c>
      <c r="F43">
        <v>2017</v>
      </c>
      <c r="G43" t="s">
        <v>578</v>
      </c>
      <c r="H43" t="s">
        <v>352</v>
      </c>
      <c r="J43">
        <v>0</v>
      </c>
      <c r="L43">
        <v>1</v>
      </c>
      <c r="M43">
        <v>150</v>
      </c>
      <c r="N43">
        <v>33</v>
      </c>
      <c r="O43" t="s">
        <v>575</v>
      </c>
      <c r="Q43" t="s">
        <v>576</v>
      </c>
      <c r="R43" t="s">
        <v>579</v>
      </c>
      <c r="U43">
        <v>9</v>
      </c>
      <c r="V43">
        <v>8</v>
      </c>
      <c r="W43" t="s">
        <v>350</v>
      </c>
      <c r="X43" t="s">
        <v>349</v>
      </c>
      <c r="Y43" t="s">
        <v>580</v>
      </c>
      <c r="Z43">
        <v>2017</v>
      </c>
      <c r="AB43">
        <v>14</v>
      </c>
      <c r="AC43">
        <v>5.87</v>
      </c>
      <c r="AE43" t="s">
        <v>346</v>
      </c>
      <c r="AF43">
        <v>46.142674</v>
      </c>
      <c r="AG43">
        <v>-115.598088</v>
      </c>
      <c r="AH43">
        <v>14114020</v>
      </c>
    </row>
    <row r="44" spans="2:34">
      <c r="B44" t="s">
        <v>345</v>
      </c>
      <c r="C44" t="s">
        <v>577</v>
      </c>
      <c r="D44" s="3">
        <v>42859.341666666667</v>
      </c>
      <c r="F44">
        <v>2017</v>
      </c>
      <c r="G44" t="s">
        <v>578</v>
      </c>
      <c r="H44" t="s">
        <v>352</v>
      </c>
      <c r="J44">
        <v>0</v>
      </c>
      <c r="L44">
        <v>1</v>
      </c>
      <c r="M44">
        <v>160</v>
      </c>
      <c r="N44">
        <v>38</v>
      </c>
      <c r="O44" t="s">
        <v>575</v>
      </c>
      <c r="Q44" t="s">
        <v>576</v>
      </c>
      <c r="R44" t="s">
        <v>579</v>
      </c>
      <c r="U44">
        <v>9</v>
      </c>
      <c r="V44">
        <v>8</v>
      </c>
      <c r="W44" t="s">
        <v>350</v>
      </c>
      <c r="X44" t="s">
        <v>349</v>
      </c>
      <c r="Y44" t="s">
        <v>580</v>
      </c>
      <c r="Z44">
        <v>2017</v>
      </c>
      <c r="AB44">
        <v>14</v>
      </c>
      <c r="AC44">
        <v>5.87</v>
      </c>
      <c r="AE44" t="s">
        <v>346</v>
      </c>
      <c r="AF44">
        <v>46.142674</v>
      </c>
      <c r="AG44">
        <v>-115.598088</v>
      </c>
      <c r="AH44">
        <v>14114021</v>
      </c>
    </row>
    <row r="45" spans="2:34">
      <c r="B45" t="s">
        <v>345</v>
      </c>
      <c r="C45" t="s">
        <v>577</v>
      </c>
      <c r="D45" s="3">
        <v>42859.341666666667</v>
      </c>
      <c r="F45">
        <v>2017</v>
      </c>
      <c r="G45" t="s">
        <v>578</v>
      </c>
      <c r="H45" t="s">
        <v>352</v>
      </c>
      <c r="J45">
        <v>0</v>
      </c>
      <c r="L45">
        <v>1</v>
      </c>
      <c r="M45">
        <v>171</v>
      </c>
      <c r="N45">
        <v>45</v>
      </c>
      <c r="O45" t="s">
        <v>575</v>
      </c>
      <c r="Q45" t="s">
        <v>576</v>
      </c>
      <c r="R45" t="s">
        <v>579</v>
      </c>
      <c r="U45">
        <v>9</v>
      </c>
      <c r="V45">
        <v>8</v>
      </c>
      <c r="W45" t="s">
        <v>350</v>
      </c>
      <c r="X45" t="s">
        <v>349</v>
      </c>
      <c r="Y45" t="s">
        <v>580</v>
      </c>
      <c r="Z45">
        <v>2017</v>
      </c>
      <c r="AB45">
        <v>14</v>
      </c>
      <c r="AC45">
        <v>5.87</v>
      </c>
      <c r="AE45" t="s">
        <v>346</v>
      </c>
      <c r="AF45">
        <v>46.142674</v>
      </c>
      <c r="AG45">
        <v>-115.598088</v>
      </c>
      <c r="AH45">
        <v>14114022</v>
      </c>
    </row>
    <row r="46" spans="2:34">
      <c r="B46" t="s">
        <v>345</v>
      </c>
      <c r="C46" t="s">
        <v>577</v>
      </c>
      <c r="D46" s="3">
        <v>42859.341666666667</v>
      </c>
      <c r="F46">
        <v>2017</v>
      </c>
      <c r="G46" t="s">
        <v>578</v>
      </c>
      <c r="H46" t="s">
        <v>352</v>
      </c>
      <c r="J46">
        <v>0</v>
      </c>
      <c r="L46">
        <v>1</v>
      </c>
      <c r="M46">
        <v>179</v>
      </c>
      <c r="N46">
        <v>48</v>
      </c>
      <c r="O46" t="s">
        <v>575</v>
      </c>
      <c r="Q46" t="s">
        <v>576</v>
      </c>
      <c r="R46" t="s">
        <v>579</v>
      </c>
      <c r="U46">
        <v>9</v>
      </c>
      <c r="V46">
        <v>8</v>
      </c>
      <c r="W46" t="s">
        <v>350</v>
      </c>
      <c r="X46" t="s">
        <v>349</v>
      </c>
      <c r="Y46" t="s">
        <v>580</v>
      </c>
      <c r="Z46">
        <v>2017</v>
      </c>
      <c r="AB46">
        <v>14</v>
      </c>
      <c r="AC46">
        <v>5.87</v>
      </c>
      <c r="AE46" t="s">
        <v>346</v>
      </c>
      <c r="AF46">
        <v>46.142674</v>
      </c>
      <c r="AG46">
        <v>-115.598088</v>
      </c>
      <c r="AH46">
        <v>14114023</v>
      </c>
    </row>
    <row r="47" spans="2:34">
      <c r="B47" t="s">
        <v>345</v>
      </c>
      <c r="C47" t="s">
        <v>577</v>
      </c>
      <c r="D47" s="3">
        <v>42859.341666666667</v>
      </c>
      <c r="F47">
        <v>2017</v>
      </c>
      <c r="G47" t="s">
        <v>578</v>
      </c>
      <c r="H47" t="s">
        <v>352</v>
      </c>
      <c r="J47">
        <v>0</v>
      </c>
      <c r="L47">
        <v>1</v>
      </c>
      <c r="M47">
        <v>160</v>
      </c>
      <c r="N47">
        <v>37</v>
      </c>
      <c r="O47" t="s">
        <v>575</v>
      </c>
      <c r="Q47" t="s">
        <v>576</v>
      </c>
      <c r="R47" t="s">
        <v>579</v>
      </c>
      <c r="U47">
        <v>9</v>
      </c>
      <c r="V47">
        <v>8</v>
      </c>
      <c r="W47" t="s">
        <v>350</v>
      </c>
      <c r="X47" t="s">
        <v>349</v>
      </c>
      <c r="Y47" t="s">
        <v>580</v>
      </c>
      <c r="Z47">
        <v>2017</v>
      </c>
      <c r="AB47">
        <v>14</v>
      </c>
      <c r="AC47">
        <v>5.87</v>
      </c>
      <c r="AE47" t="s">
        <v>346</v>
      </c>
      <c r="AF47">
        <v>46.142674</v>
      </c>
      <c r="AG47">
        <v>-115.598088</v>
      </c>
      <c r="AH47">
        <v>14114024</v>
      </c>
    </row>
    <row r="48" spans="2:34">
      <c r="B48" t="s">
        <v>345</v>
      </c>
      <c r="C48" t="s">
        <v>577</v>
      </c>
      <c r="D48" s="3">
        <v>42859.341666666667</v>
      </c>
      <c r="F48">
        <v>2017</v>
      </c>
      <c r="G48" t="s">
        <v>578</v>
      </c>
      <c r="H48" t="s">
        <v>352</v>
      </c>
      <c r="J48">
        <v>0</v>
      </c>
      <c r="L48">
        <v>1</v>
      </c>
      <c r="M48">
        <v>186</v>
      </c>
      <c r="N48">
        <v>54</v>
      </c>
      <c r="O48" t="s">
        <v>575</v>
      </c>
      <c r="Q48" t="s">
        <v>576</v>
      </c>
      <c r="R48" t="s">
        <v>579</v>
      </c>
      <c r="U48">
        <v>9</v>
      </c>
      <c r="V48">
        <v>8</v>
      </c>
      <c r="W48" t="s">
        <v>350</v>
      </c>
      <c r="X48" t="s">
        <v>349</v>
      </c>
      <c r="Y48" t="s">
        <v>580</v>
      </c>
      <c r="Z48">
        <v>2017</v>
      </c>
      <c r="AB48">
        <v>14</v>
      </c>
      <c r="AC48">
        <v>5.87</v>
      </c>
      <c r="AE48" t="s">
        <v>346</v>
      </c>
      <c r="AF48">
        <v>46.142674</v>
      </c>
      <c r="AG48">
        <v>-115.598088</v>
      </c>
      <c r="AH48">
        <v>14114025</v>
      </c>
    </row>
    <row r="49" spans="2:34">
      <c r="B49" t="s">
        <v>345</v>
      </c>
      <c r="C49" t="s">
        <v>577</v>
      </c>
      <c r="D49" s="3">
        <v>42859.341666666667</v>
      </c>
      <c r="F49">
        <v>2017</v>
      </c>
      <c r="G49" t="s">
        <v>578</v>
      </c>
      <c r="H49" t="s">
        <v>352</v>
      </c>
      <c r="J49">
        <v>0</v>
      </c>
      <c r="L49">
        <v>1</v>
      </c>
      <c r="M49">
        <v>197</v>
      </c>
      <c r="N49">
        <v>76</v>
      </c>
      <c r="O49" t="s">
        <v>575</v>
      </c>
      <c r="Q49" t="s">
        <v>576</v>
      </c>
      <c r="R49" t="s">
        <v>579</v>
      </c>
      <c r="U49">
        <v>9</v>
      </c>
      <c r="V49">
        <v>8</v>
      </c>
      <c r="W49" t="s">
        <v>350</v>
      </c>
      <c r="X49" t="s">
        <v>349</v>
      </c>
      <c r="Y49" t="s">
        <v>580</v>
      </c>
      <c r="Z49">
        <v>2017</v>
      </c>
      <c r="AB49">
        <v>14</v>
      </c>
      <c r="AC49">
        <v>5.87</v>
      </c>
      <c r="AE49" t="s">
        <v>346</v>
      </c>
      <c r="AF49">
        <v>46.142674</v>
      </c>
      <c r="AG49">
        <v>-115.598088</v>
      </c>
      <c r="AH49">
        <v>14114026</v>
      </c>
    </row>
    <row r="50" spans="2:34">
      <c r="B50" t="s">
        <v>345</v>
      </c>
      <c r="C50" t="s">
        <v>577</v>
      </c>
      <c r="D50" s="3">
        <v>42859.341666666667</v>
      </c>
      <c r="F50">
        <v>2017</v>
      </c>
      <c r="G50" t="s">
        <v>578</v>
      </c>
      <c r="H50" t="s">
        <v>352</v>
      </c>
      <c r="J50">
        <v>0</v>
      </c>
      <c r="L50">
        <v>1</v>
      </c>
      <c r="M50">
        <v>171</v>
      </c>
      <c r="N50">
        <v>46</v>
      </c>
      <c r="O50" t="s">
        <v>575</v>
      </c>
      <c r="Q50" t="s">
        <v>594</v>
      </c>
      <c r="R50" t="s">
        <v>579</v>
      </c>
      <c r="U50">
        <v>9</v>
      </c>
      <c r="V50">
        <v>8</v>
      </c>
      <c r="W50" t="s">
        <v>350</v>
      </c>
      <c r="X50" t="s">
        <v>349</v>
      </c>
      <c r="Y50" t="s">
        <v>580</v>
      </c>
      <c r="Z50">
        <v>2017</v>
      </c>
      <c r="AB50">
        <v>14</v>
      </c>
      <c r="AC50">
        <v>5.87</v>
      </c>
      <c r="AE50" t="s">
        <v>346</v>
      </c>
      <c r="AF50">
        <v>46.142674</v>
      </c>
      <c r="AG50">
        <v>-115.598088</v>
      </c>
      <c r="AH50">
        <v>14114027</v>
      </c>
    </row>
    <row r="51" spans="2:34">
      <c r="B51" t="s">
        <v>345</v>
      </c>
      <c r="C51" t="s">
        <v>577</v>
      </c>
      <c r="D51" s="3">
        <v>42859.341666666667</v>
      </c>
      <c r="F51">
        <v>2017</v>
      </c>
      <c r="G51" t="s">
        <v>578</v>
      </c>
      <c r="H51" t="s">
        <v>352</v>
      </c>
      <c r="J51">
        <v>0</v>
      </c>
      <c r="L51">
        <v>1</v>
      </c>
      <c r="M51">
        <v>189</v>
      </c>
      <c r="N51">
        <v>50</v>
      </c>
      <c r="O51" t="s">
        <v>575</v>
      </c>
      <c r="Q51" t="s">
        <v>576</v>
      </c>
      <c r="R51" t="s">
        <v>579</v>
      </c>
      <c r="U51">
        <v>9</v>
      </c>
      <c r="V51">
        <v>8</v>
      </c>
      <c r="W51" t="s">
        <v>350</v>
      </c>
      <c r="X51" t="s">
        <v>349</v>
      </c>
      <c r="Y51" t="s">
        <v>580</v>
      </c>
      <c r="Z51">
        <v>2017</v>
      </c>
      <c r="AB51">
        <v>14</v>
      </c>
      <c r="AC51">
        <v>5.87</v>
      </c>
      <c r="AE51" t="s">
        <v>346</v>
      </c>
      <c r="AF51">
        <v>46.142674</v>
      </c>
      <c r="AG51">
        <v>-115.598088</v>
      </c>
      <c r="AH51">
        <v>14114028</v>
      </c>
    </row>
    <row r="52" spans="2:34">
      <c r="B52" t="s">
        <v>345</v>
      </c>
      <c r="C52" t="s">
        <v>577</v>
      </c>
      <c r="D52" s="3">
        <v>42859.341666666667</v>
      </c>
      <c r="F52">
        <v>2017</v>
      </c>
      <c r="G52" t="s">
        <v>578</v>
      </c>
      <c r="H52" t="s">
        <v>352</v>
      </c>
      <c r="J52">
        <v>0</v>
      </c>
      <c r="L52">
        <v>1</v>
      </c>
      <c r="M52">
        <v>154</v>
      </c>
      <c r="N52">
        <v>33</v>
      </c>
      <c r="O52" t="s">
        <v>575</v>
      </c>
      <c r="Q52" t="s">
        <v>595</v>
      </c>
      <c r="R52" t="s">
        <v>579</v>
      </c>
      <c r="U52">
        <v>9</v>
      </c>
      <c r="V52">
        <v>8</v>
      </c>
      <c r="W52" t="s">
        <v>350</v>
      </c>
      <c r="X52" t="s">
        <v>349</v>
      </c>
      <c r="Y52" t="s">
        <v>580</v>
      </c>
      <c r="Z52">
        <v>2017</v>
      </c>
      <c r="AB52">
        <v>14</v>
      </c>
      <c r="AC52">
        <v>5.87</v>
      </c>
      <c r="AE52" t="s">
        <v>346</v>
      </c>
      <c r="AF52">
        <v>46.142674</v>
      </c>
      <c r="AG52">
        <v>-115.598088</v>
      </c>
      <c r="AH52">
        <v>14114029</v>
      </c>
    </row>
    <row r="53" spans="2:34">
      <c r="B53" t="s">
        <v>345</v>
      </c>
      <c r="C53" t="s">
        <v>577</v>
      </c>
      <c r="D53" s="3">
        <v>42859.341666666667</v>
      </c>
      <c r="F53">
        <v>2017</v>
      </c>
      <c r="G53" t="s">
        <v>578</v>
      </c>
      <c r="H53" t="s">
        <v>352</v>
      </c>
      <c r="J53">
        <v>0</v>
      </c>
      <c r="L53">
        <v>1</v>
      </c>
      <c r="M53">
        <v>177</v>
      </c>
      <c r="N53">
        <v>51</v>
      </c>
      <c r="O53" t="s">
        <v>575</v>
      </c>
      <c r="Q53" t="s">
        <v>596</v>
      </c>
      <c r="R53" t="s">
        <v>579</v>
      </c>
      <c r="U53">
        <v>9</v>
      </c>
      <c r="V53">
        <v>8</v>
      </c>
      <c r="W53" t="s">
        <v>350</v>
      </c>
      <c r="X53" t="s">
        <v>349</v>
      </c>
      <c r="Y53" t="s">
        <v>580</v>
      </c>
      <c r="Z53">
        <v>2017</v>
      </c>
      <c r="AB53">
        <v>14</v>
      </c>
      <c r="AC53">
        <v>5.87</v>
      </c>
      <c r="AE53" t="s">
        <v>346</v>
      </c>
      <c r="AF53">
        <v>46.142674</v>
      </c>
      <c r="AG53">
        <v>-115.598088</v>
      </c>
      <c r="AH53">
        <v>14114030</v>
      </c>
    </row>
    <row r="54" spans="2:34">
      <c r="B54" t="s">
        <v>345</v>
      </c>
      <c r="C54" t="s">
        <v>577</v>
      </c>
      <c r="D54" s="3">
        <v>42859.341666666667</v>
      </c>
      <c r="F54">
        <v>2017</v>
      </c>
      <c r="G54" t="s">
        <v>578</v>
      </c>
      <c r="H54" t="s">
        <v>352</v>
      </c>
      <c r="J54">
        <v>0</v>
      </c>
      <c r="L54">
        <v>1</v>
      </c>
      <c r="M54">
        <v>154</v>
      </c>
      <c r="N54">
        <v>31</v>
      </c>
      <c r="O54" t="s">
        <v>575</v>
      </c>
      <c r="Q54" t="s">
        <v>576</v>
      </c>
      <c r="R54" t="s">
        <v>579</v>
      </c>
      <c r="U54">
        <v>9</v>
      </c>
      <c r="V54">
        <v>8</v>
      </c>
      <c r="W54" t="s">
        <v>350</v>
      </c>
      <c r="X54" t="s">
        <v>349</v>
      </c>
      <c r="Y54" t="s">
        <v>580</v>
      </c>
      <c r="Z54">
        <v>2017</v>
      </c>
      <c r="AB54">
        <v>14</v>
      </c>
      <c r="AC54">
        <v>5.87</v>
      </c>
      <c r="AE54" t="s">
        <v>346</v>
      </c>
      <c r="AF54">
        <v>46.142674</v>
      </c>
      <c r="AG54">
        <v>-115.598088</v>
      </c>
      <c r="AH54">
        <v>14114031</v>
      </c>
    </row>
    <row r="55" spans="2:34">
      <c r="B55" t="s">
        <v>345</v>
      </c>
      <c r="C55" t="s">
        <v>577</v>
      </c>
      <c r="D55" s="3">
        <v>42859.341666666667</v>
      </c>
      <c r="F55">
        <v>2017</v>
      </c>
      <c r="G55" t="s">
        <v>578</v>
      </c>
      <c r="H55" t="s">
        <v>352</v>
      </c>
      <c r="J55">
        <v>0</v>
      </c>
      <c r="L55">
        <v>1</v>
      </c>
      <c r="M55">
        <v>184</v>
      </c>
      <c r="N55">
        <v>57</v>
      </c>
      <c r="O55" t="s">
        <v>575</v>
      </c>
      <c r="Q55" t="s">
        <v>576</v>
      </c>
      <c r="R55" t="s">
        <v>579</v>
      </c>
      <c r="U55">
        <v>9</v>
      </c>
      <c r="V55">
        <v>8</v>
      </c>
      <c r="W55" t="s">
        <v>350</v>
      </c>
      <c r="X55" t="s">
        <v>349</v>
      </c>
      <c r="Y55" t="s">
        <v>580</v>
      </c>
      <c r="Z55">
        <v>2017</v>
      </c>
      <c r="AB55">
        <v>14</v>
      </c>
      <c r="AC55">
        <v>5.87</v>
      </c>
      <c r="AE55" t="s">
        <v>346</v>
      </c>
      <c r="AF55">
        <v>46.142674</v>
      </c>
      <c r="AG55">
        <v>-115.598088</v>
      </c>
      <c r="AH55">
        <v>14114032</v>
      </c>
    </row>
    <row r="56" spans="2:34">
      <c r="B56" t="s">
        <v>345</v>
      </c>
      <c r="C56" t="s">
        <v>577</v>
      </c>
      <c r="D56" s="3">
        <v>42859.341666666667</v>
      </c>
      <c r="F56">
        <v>2017</v>
      </c>
      <c r="G56" t="s">
        <v>578</v>
      </c>
      <c r="H56" t="s">
        <v>352</v>
      </c>
      <c r="J56">
        <v>0</v>
      </c>
      <c r="L56">
        <v>1</v>
      </c>
      <c r="M56">
        <v>195</v>
      </c>
      <c r="N56">
        <v>72</v>
      </c>
      <c r="O56" t="s">
        <v>575</v>
      </c>
      <c r="Q56" t="s">
        <v>597</v>
      </c>
      <c r="R56" t="s">
        <v>579</v>
      </c>
      <c r="U56">
        <v>9</v>
      </c>
      <c r="V56">
        <v>8</v>
      </c>
      <c r="W56" t="s">
        <v>350</v>
      </c>
      <c r="X56" t="s">
        <v>349</v>
      </c>
      <c r="Y56" t="s">
        <v>580</v>
      </c>
      <c r="Z56">
        <v>2017</v>
      </c>
      <c r="AB56">
        <v>14</v>
      </c>
      <c r="AC56">
        <v>5.87</v>
      </c>
      <c r="AE56" t="s">
        <v>346</v>
      </c>
      <c r="AF56">
        <v>46.142674</v>
      </c>
      <c r="AG56">
        <v>-115.598088</v>
      </c>
      <c r="AH56">
        <v>14114033</v>
      </c>
    </row>
    <row r="57" spans="2:34">
      <c r="B57" t="s">
        <v>345</v>
      </c>
      <c r="C57" t="s">
        <v>577</v>
      </c>
      <c r="D57" s="3">
        <v>42859.341666666667</v>
      </c>
      <c r="F57">
        <v>2017</v>
      </c>
      <c r="G57" t="s">
        <v>578</v>
      </c>
      <c r="H57" t="s">
        <v>352</v>
      </c>
      <c r="J57">
        <v>0</v>
      </c>
      <c r="L57">
        <v>1</v>
      </c>
      <c r="M57">
        <v>181</v>
      </c>
      <c r="N57">
        <v>56</v>
      </c>
      <c r="O57" t="s">
        <v>575</v>
      </c>
      <c r="Q57" t="s">
        <v>598</v>
      </c>
      <c r="R57" t="s">
        <v>579</v>
      </c>
      <c r="U57">
        <v>9</v>
      </c>
      <c r="V57">
        <v>8</v>
      </c>
      <c r="W57" t="s">
        <v>350</v>
      </c>
      <c r="X57" t="s">
        <v>349</v>
      </c>
      <c r="Y57" t="s">
        <v>580</v>
      </c>
      <c r="Z57">
        <v>2017</v>
      </c>
      <c r="AB57">
        <v>14</v>
      </c>
      <c r="AC57">
        <v>5.87</v>
      </c>
      <c r="AE57" t="s">
        <v>346</v>
      </c>
      <c r="AF57">
        <v>46.142674</v>
      </c>
      <c r="AG57">
        <v>-115.598088</v>
      </c>
      <c r="AH57">
        <v>14114034</v>
      </c>
    </row>
    <row r="58" spans="2:34">
      <c r="B58" t="s">
        <v>345</v>
      </c>
      <c r="C58" t="s">
        <v>577</v>
      </c>
      <c r="D58" s="3">
        <v>42859.341666666667</v>
      </c>
      <c r="F58">
        <v>2017</v>
      </c>
      <c r="G58" t="s">
        <v>578</v>
      </c>
      <c r="H58" t="s">
        <v>352</v>
      </c>
      <c r="J58">
        <v>0</v>
      </c>
      <c r="L58">
        <v>1</v>
      </c>
      <c r="M58">
        <v>203</v>
      </c>
      <c r="N58">
        <v>86</v>
      </c>
      <c r="O58" t="s">
        <v>575</v>
      </c>
      <c r="Q58" t="s">
        <v>599</v>
      </c>
      <c r="R58" t="s">
        <v>579</v>
      </c>
      <c r="U58">
        <v>9</v>
      </c>
      <c r="V58">
        <v>8</v>
      </c>
      <c r="W58" t="s">
        <v>350</v>
      </c>
      <c r="X58" t="s">
        <v>349</v>
      </c>
      <c r="Y58" t="s">
        <v>580</v>
      </c>
      <c r="Z58">
        <v>2017</v>
      </c>
      <c r="AB58">
        <v>14</v>
      </c>
      <c r="AC58">
        <v>5.87</v>
      </c>
      <c r="AE58" t="s">
        <v>346</v>
      </c>
      <c r="AF58">
        <v>46.142674</v>
      </c>
      <c r="AG58">
        <v>-115.598088</v>
      </c>
      <c r="AH58">
        <v>14114035</v>
      </c>
    </row>
    <row r="59" spans="2:34">
      <c r="B59" t="s">
        <v>345</v>
      </c>
      <c r="C59" t="s">
        <v>577</v>
      </c>
      <c r="D59" s="3">
        <v>42859.341666666667</v>
      </c>
      <c r="F59">
        <v>2017</v>
      </c>
      <c r="G59" t="s">
        <v>578</v>
      </c>
      <c r="H59" t="s">
        <v>352</v>
      </c>
      <c r="J59">
        <v>0</v>
      </c>
      <c r="L59">
        <v>1</v>
      </c>
      <c r="M59">
        <v>163</v>
      </c>
      <c r="N59">
        <v>37</v>
      </c>
      <c r="O59" t="s">
        <v>575</v>
      </c>
      <c r="Q59" t="s">
        <v>576</v>
      </c>
      <c r="R59" t="s">
        <v>579</v>
      </c>
      <c r="U59">
        <v>9</v>
      </c>
      <c r="V59">
        <v>8</v>
      </c>
      <c r="W59" t="s">
        <v>350</v>
      </c>
      <c r="X59" t="s">
        <v>349</v>
      </c>
      <c r="Y59" t="s">
        <v>580</v>
      </c>
      <c r="Z59">
        <v>2017</v>
      </c>
      <c r="AB59">
        <v>14</v>
      </c>
      <c r="AC59">
        <v>5.87</v>
      </c>
      <c r="AE59" t="s">
        <v>346</v>
      </c>
      <c r="AF59">
        <v>46.142674</v>
      </c>
      <c r="AG59">
        <v>-115.598088</v>
      </c>
      <c r="AH59">
        <v>14114036</v>
      </c>
    </row>
    <row r="60" spans="2:34">
      <c r="B60" t="s">
        <v>345</v>
      </c>
      <c r="C60" t="s">
        <v>577</v>
      </c>
      <c r="D60" s="3">
        <v>42859.341666666667</v>
      </c>
      <c r="F60">
        <v>2017</v>
      </c>
      <c r="G60" t="s">
        <v>578</v>
      </c>
      <c r="H60" t="s">
        <v>352</v>
      </c>
      <c r="J60">
        <v>0</v>
      </c>
      <c r="L60">
        <v>1</v>
      </c>
      <c r="M60">
        <v>162</v>
      </c>
      <c r="N60">
        <v>39</v>
      </c>
      <c r="O60" t="s">
        <v>575</v>
      </c>
      <c r="Q60" t="s">
        <v>576</v>
      </c>
      <c r="R60" t="s">
        <v>579</v>
      </c>
      <c r="U60">
        <v>9</v>
      </c>
      <c r="V60">
        <v>8</v>
      </c>
      <c r="W60" t="s">
        <v>350</v>
      </c>
      <c r="X60" t="s">
        <v>349</v>
      </c>
      <c r="Y60" t="s">
        <v>580</v>
      </c>
      <c r="Z60">
        <v>2017</v>
      </c>
      <c r="AB60">
        <v>14</v>
      </c>
      <c r="AC60">
        <v>5.87</v>
      </c>
      <c r="AE60" t="s">
        <v>346</v>
      </c>
      <c r="AF60">
        <v>46.142674</v>
      </c>
      <c r="AG60">
        <v>-115.598088</v>
      </c>
      <c r="AH60">
        <v>14114037</v>
      </c>
    </row>
    <row r="61" spans="2:34">
      <c r="B61" t="s">
        <v>345</v>
      </c>
      <c r="C61" t="s">
        <v>577</v>
      </c>
      <c r="D61" s="3">
        <v>42859.341666666667</v>
      </c>
      <c r="F61">
        <v>2017</v>
      </c>
      <c r="G61" t="s">
        <v>578</v>
      </c>
      <c r="H61" t="s">
        <v>352</v>
      </c>
      <c r="J61">
        <v>0</v>
      </c>
      <c r="L61">
        <v>1</v>
      </c>
      <c r="M61">
        <v>228</v>
      </c>
      <c r="N61">
        <v>114</v>
      </c>
      <c r="O61" t="s">
        <v>575</v>
      </c>
      <c r="Q61" t="s">
        <v>600</v>
      </c>
      <c r="R61" t="s">
        <v>579</v>
      </c>
      <c r="U61">
        <v>9</v>
      </c>
      <c r="V61">
        <v>8</v>
      </c>
      <c r="W61" t="s">
        <v>350</v>
      </c>
      <c r="X61" t="s">
        <v>349</v>
      </c>
      <c r="Y61" t="s">
        <v>580</v>
      </c>
      <c r="Z61">
        <v>2017</v>
      </c>
      <c r="AB61">
        <v>14</v>
      </c>
      <c r="AC61">
        <v>5.87</v>
      </c>
      <c r="AE61" t="s">
        <v>346</v>
      </c>
      <c r="AF61">
        <v>46.142674</v>
      </c>
      <c r="AG61">
        <v>-115.598088</v>
      </c>
      <c r="AH61">
        <v>14114038</v>
      </c>
    </row>
    <row r="62" spans="2:34">
      <c r="B62" t="s">
        <v>345</v>
      </c>
      <c r="C62" t="s">
        <v>601</v>
      </c>
      <c r="D62" s="3">
        <v>43028.575694444444</v>
      </c>
      <c r="F62">
        <v>2017</v>
      </c>
      <c r="G62" t="s">
        <v>602</v>
      </c>
      <c r="H62" t="s">
        <v>352</v>
      </c>
      <c r="J62">
        <v>0</v>
      </c>
      <c r="L62">
        <v>1</v>
      </c>
      <c r="M62">
        <v>215</v>
      </c>
      <c r="N62">
        <v>0</v>
      </c>
      <c r="O62" t="s">
        <v>353</v>
      </c>
      <c r="R62" t="s">
        <v>603</v>
      </c>
      <c r="U62">
        <v>7</v>
      </c>
      <c r="V62">
        <v>7</v>
      </c>
      <c r="W62" t="s">
        <v>350</v>
      </c>
      <c r="X62" t="s">
        <v>349</v>
      </c>
      <c r="Y62" t="s">
        <v>348</v>
      </c>
      <c r="Z62">
        <v>2017</v>
      </c>
      <c r="AB62">
        <v>5</v>
      </c>
      <c r="AC62">
        <v>2.04</v>
      </c>
      <c r="AE62" t="s">
        <v>346</v>
      </c>
      <c r="AF62">
        <v>46.142674</v>
      </c>
      <c r="AG62">
        <v>-115.598088</v>
      </c>
      <c r="AH62">
        <v>14197388</v>
      </c>
    </row>
    <row r="63" spans="2:34">
      <c r="B63" t="s">
        <v>345</v>
      </c>
      <c r="C63" t="s">
        <v>601</v>
      </c>
      <c r="D63" s="3">
        <v>43028.575694444444</v>
      </c>
      <c r="F63">
        <v>2017</v>
      </c>
      <c r="G63" t="s">
        <v>604</v>
      </c>
      <c r="H63" t="s">
        <v>352</v>
      </c>
      <c r="J63">
        <v>0</v>
      </c>
      <c r="L63">
        <v>1</v>
      </c>
      <c r="M63">
        <v>410</v>
      </c>
      <c r="N63">
        <v>0</v>
      </c>
      <c r="O63" t="s">
        <v>353</v>
      </c>
      <c r="R63" t="s">
        <v>603</v>
      </c>
      <c r="U63">
        <v>7</v>
      </c>
      <c r="V63">
        <v>7</v>
      </c>
      <c r="W63" t="s">
        <v>350</v>
      </c>
      <c r="X63" t="s">
        <v>349</v>
      </c>
      <c r="Y63" t="s">
        <v>348</v>
      </c>
      <c r="Z63">
        <v>2017</v>
      </c>
      <c r="AB63">
        <v>5</v>
      </c>
      <c r="AC63">
        <v>2.04</v>
      </c>
      <c r="AE63" t="s">
        <v>346</v>
      </c>
      <c r="AF63">
        <v>46.142674</v>
      </c>
      <c r="AG63">
        <v>-115.598088</v>
      </c>
      <c r="AH63">
        <v>14197389</v>
      </c>
    </row>
    <row r="64" spans="2:34">
      <c r="B64" t="s">
        <v>345</v>
      </c>
      <c r="C64" t="s">
        <v>601</v>
      </c>
      <c r="D64" s="3">
        <v>43028.575694444444</v>
      </c>
      <c r="F64">
        <v>2017</v>
      </c>
      <c r="G64" t="s">
        <v>605</v>
      </c>
      <c r="H64" t="s">
        <v>352</v>
      </c>
      <c r="J64">
        <v>0</v>
      </c>
      <c r="L64">
        <v>6</v>
      </c>
      <c r="M64">
        <v>0</v>
      </c>
      <c r="N64">
        <v>0</v>
      </c>
      <c r="O64" t="s">
        <v>606</v>
      </c>
      <c r="R64" t="s">
        <v>603</v>
      </c>
      <c r="U64">
        <v>7</v>
      </c>
      <c r="V64">
        <v>7</v>
      </c>
      <c r="W64" t="s">
        <v>350</v>
      </c>
      <c r="X64" t="s">
        <v>349</v>
      </c>
      <c r="Y64" t="s">
        <v>348</v>
      </c>
      <c r="Z64">
        <v>2017</v>
      </c>
      <c r="AB64">
        <v>5</v>
      </c>
      <c r="AC64">
        <v>2.04</v>
      </c>
      <c r="AE64" t="s">
        <v>346</v>
      </c>
      <c r="AF64">
        <v>46.142674</v>
      </c>
      <c r="AG64">
        <v>-115.598088</v>
      </c>
      <c r="AH64">
        <v>14197390</v>
      </c>
    </row>
    <row r="65" spans="2:34">
      <c r="B65" t="s">
        <v>345</v>
      </c>
      <c r="C65" t="s">
        <v>607</v>
      </c>
      <c r="D65" s="3">
        <v>42897.34652777778</v>
      </c>
      <c r="F65">
        <v>2017</v>
      </c>
      <c r="G65" t="s">
        <v>605</v>
      </c>
      <c r="H65" t="s">
        <v>352</v>
      </c>
      <c r="J65">
        <v>0</v>
      </c>
      <c r="L65">
        <v>1</v>
      </c>
      <c r="M65">
        <v>78</v>
      </c>
      <c r="N65">
        <v>6</v>
      </c>
      <c r="O65" t="s">
        <v>353</v>
      </c>
      <c r="R65" t="s">
        <v>608</v>
      </c>
      <c r="U65">
        <v>7</v>
      </c>
      <c r="V65">
        <v>7</v>
      </c>
      <c r="W65" t="s">
        <v>350</v>
      </c>
      <c r="X65" t="s">
        <v>349</v>
      </c>
      <c r="Y65" t="s">
        <v>348</v>
      </c>
      <c r="Z65">
        <v>2017</v>
      </c>
      <c r="AB65">
        <v>12</v>
      </c>
      <c r="AC65">
        <v>6.09</v>
      </c>
      <c r="AE65" t="s">
        <v>346</v>
      </c>
      <c r="AF65">
        <v>46.142674</v>
      </c>
      <c r="AG65">
        <v>-115.598088</v>
      </c>
      <c r="AH65">
        <v>14204285</v>
      </c>
    </row>
    <row r="66" spans="2:34">
      <c r="B66" t="s">
        <v>345</v>
      </c>
      <c r="C66" t="s">
        <v>607</v>
      </c>
      <c r="D66" s="3">
        <v>42897.34652777778</v>
      </c>
      <c r="F66">
        <v>2017</v>
      </c>
      <c r="G66" t="s">
        <v>574</v>
      </c>
      <c r="H66" t="s">
        <v>352</v>
      </c>
      <c r="J66">
        <v>0</v>
      </c>
      <c r="L66">
        <v>1</v>
      </c>
      <c r="M66">
        <v>53</v>
      </c>
      <c r="N66">
        <v>2</v>
      </c>
      <c r="O66" t="s">
        <v>609</v>
      </c>
      <c r="R66" t="s">
        <v>608</v>
      </c>
      <c r="U66">
        <v>7</v>
      </c>
      <c r="V66">
        <v>7</v>
      </c>
      <c r="W66" t="s">
        <v>350</v>
      </c>
      <c r="X66" t="s">
        <v>349</v>
      </c>
      <c r="Y66" t="s">
        <v>348</v>
      </c>
      <c r="Z66">
        <v>2017</v>
      </c>
      <c r="AB66">
        <v>12</v>
      </c>
      <c r="AC66">
        <v>6.09</v>
      </c>
      <c r="AE66" t="s">
        <v>346</v>
      </c>
      <c r="AF66">
        <v>46.142674</v>
      </c>
      <c r="AG66">
        <v>-115.598088</v>
      </c>
      <c r="AH66">
        <v>14204286</v>
      </c>
    </row>
    <row r="67" spans="2:34">
      <c r="B67" t="s">
        <v>345</v>
      </c>
      <c r="C67" t="s">
        <v>607</v>
      </c>
      <c r="D67" s="3">
        <v>42897.34652777778</v>
      </c>
      <c r="F67">
        <v>2017</v>
      </c>
      <c r="G67" t="s">
        <v>610</v>
      </c>
      <c r="H67" t="s">
        <v>352</v>
      </c>
      <c r="J67">
        <v>0</v>
      </c>
      <c r="L67">
        <v>1</v>
      </c>
      <c r="M67">
        <v>44</v>
      </c>
      <c r="N67">
        <v>1</v>
      </c>
      <c r="O67" t="s">
        <v>353</v>
      </c>
      <c r="R67" t="s">
        <v>608</v>
      </c>
      <c r="U67">
        <v>7</v>
      </c>
      <c r="V67">
        <v>7</v>
      </c>
      <c r="W67" t="s">
        <v>350</v>
      </c>
      <c r="X67" t="s">
        <v>349</v>
      </c>
      <c r="Y67" t="s">
        <v>348</v>
      </c>
      <c r="Z67">
        <v>2017</v>
      </c>
      <c r="AB67">
        <v>12</v>
      </c>
      <c r="AC67">
        <v>6.09</v>
      </c>
      <c r="AE67" t="s">
        <v>346</v>
      </c>
      <c r="AF67">
        <v>46.142674</v>
      </c>
      <c r="AG67">
        <v>-115.598088</v>
      </c>
      <c r="AH67">
        <v>14204287</v>
      </c>
    </row>
    <row r="68" spans="2:34">
      <c r="B68" t="s">
        <v>345</v>
      </c>
      <c r="C68" t="s">
        <v>607</v>
      </c>
      <c r="D68" s="3">
        <v>42897.34652777778</v>
      </c>
      <c r="F68">
        <v>2017</v>
      </c>
      <c r="G68" t="s">
        <v>482</v>
      </c>
      <c r="H68" t="s">
        <v>352</v>
      </c>
      <c r="J68">
        <v>0</v>
      </c>
      <c r="L68">
        <v>1</v>
      </c>
      <c r="M68">
        <v>80</v>
      </c>
      <c r="N68">
        <v>5</v>
      </c>
      <c r="O68" t="s">
        <v>353</v>
      </c>
      <c r="R68" t="s">
        <v>608</v>
      </c>
      <c r="U68">
        <v>7</v>
      </c>
      <c r="V68">
        <v>7</v>
      </c>
      <c r="W68" t="s">
        <v>350</v>
      </c>
      <c r="X68" t="s">
        <v>349</v>
      </c>
      <c r="Y68" t="s">
        <v>348</v>
      </c>
      <c r="Z68">
        <v>2017</v>
      </c>
      <c r="AB68">
        <v>12</v>
      </c>
      <c r="AC68">
        <v>6.09</v>
      </c>
      <c r="AE68" t="s">
        <v>346</v>
      </c>
      <c r="AF68">
        <v>46.142674</v>
      </c>
      <c r="AG68">
        <v>-115.598088</v>
      </c>
      <c r="AH68">
        <v>14204288</v>
      </c>
    </row>
    <row r="69" spans="2:34">
      <c r="B69" t="s">
        <v>345</v>
      </c>
      <c r="C69" t="s">
        <v>607</v>
      </c>
      <c r="D69" s="3">
        <v>42897.34652777778</v>
      </c>
      <c r="F69">
        <v>2017</v>
      </c>
      <c r="G69" t="s">
        <v>574</v>
      </c>
      <c r="H69" t="s">
        <v>352</v>
      </c>
      <c r="J69">
        <v>0</v>
      </c>
      <c r="L69">
        <v>1</v>
      </c>
      <c r="M69">
        <v>51</v>
      </c>
      <c r="N69">
        <v>1</v>
      </c>
      <c r="O69" t="s">
        <v>609</v>
      </c>
      <c r="R69" t="s">
        <v>608</v>
      </c>
      <c r="U69">
        <v>7</v>
      </c>
      <c r="V69">
        <v>7</v>
      </c>
      <c r="W69" t="s">
        <v>350</v>
      </c>
      <c r="X69" t="s">
        <v>349</v>
      </c>
      <c r="Y69" t="s">
        <v>348</v>
      </c>
      <c r="Z69">
        <v>2017</v>
      </c>
      <c r="AB69">
        <v>12</v>
      </c>
      <c r="AC69">
        <v>6.09</v>
      </c>
      <c r="AE69" t="s">
        <v>346</v>
      </c>
      <c r="AF69">
        <v>46.142674</v>
      </c>
      <c r="AG69">
        <v>-115.598088</v>
      </c>
      <c r="AH69">
        <v>14204289</v>
      </c>
    </row>
    <row r="70" spans="2:34">
      <c r="B70" t="s">
        <v>345</v>
      </c>
      <c r="C70" t="s">
        <v>607</v>
      </c>
      <c r="D70" s="3">
        <v>42897.34652777778</v>
      </c>
      <c r="F70">
        <v>2017</v>
      </c>
      <c r="G70" t="s">
        <v>605</v>
      </c>
      <c r="H70" t="s">
        <v>352</v>
      </c>
      <c r="J70">
        <v>0</v>
      </c>
      <c r="L70">
        <v>1</v>
      </c>
      <c r="M70">
        <v>62</v>
      </c>
      <c r="N70">
        <v>3</v>
      </c>
      <c r="O70" t="s">
        <v>353</v>
      </c>
      <c r="R70" t="s">
        <v>608</v>
      </c>
      <c r="U70">
        <v>7</v>
      </c>
      <c r="V70">
        <v>7</v>
      </c>
      <c r="W70" t="s">
        <v>350</v>
      </c>
      <c r="X70" t="s">
        <v>349</v>
      </c>
      <c r="Y70" t="s">
        <v>348</v>
      </c>
      <c r="Z70">
        <v>2017</v>
      </c>
      <c r="AB70">
        <v>12</v>
      </c>
      <c r="AC70">
        <v>6.09</v>
      </c>
      <c r="AE70" t="s">
        <v>346</v>
      </c>
      <c r="AF70">
        <v>46.142674</v>
      </c>
      <c r="AG70">
        <v>-115.598088</v>
      </c>
      <c r="AH70">
        <v>14204290</v>
      </c>
    </row>
    <row r="71" spans="2:34">
      <c r="B71" t="s">
        <v>345</v>
      </c>
      <c r="C71" t="s">
        <v>607</v>
      </c>
      <c r="D71" s="3">
        <v>42897.34652777778</v>
      </c>
      <c r="F71">
        <v>2017</v>
      </c>
      <c r="G71" t="s">
        <v>605</v>
      </c>
      <c r="H71" t="s">
        <v>352</v>
      </c>
      <c r="J71">
        <v>0</v>
      </c>
      <c r="L71">
        <v>1</v>
      </c>
      <c r="M71">
        <v>73</v>
      </c>
      <c r="N71">
        <v>4</v>
      </c>
      <c r="O71" t="s">
        <v>353</v>
      </c>
      <c r="R71" t="s">
        <v>608</v>
      </c>
      <c r="U71">
        <v>7</v>
      </c>
      <c r="V71">
        <v>7</v>
      </c>
      <c r="W71" t="s">
        <v>350</v>
      </c>
      <c r="X71" t="s">
        <v>349</v>
      </c>
      <c r="Y71" t="s">
        <v>348</v>
      </c>
      <c r="Z71">
        <v>2017</v>
      </c>
      <c r="AB71">
        <v>12</v>
      </c>
      <c r="AC71">
        <v>6.09</v>
      </c>
      <c r="AE71" t="s">
        <v>346</v>
      </c>
      <c r="AF71">
        <v>46.142674</v>
      </c>
      <c r="AG71">
        <v>-115.598088</v>
      </c>
      <c r="AH71">
        <v>14204291</v>
      </c>
    </row>
    <row r="72" spans="2:34">
      <c r="B72" t="s">
        <v>345</v>
      </c>
      <c r="C72" t="s">
        <v>607</v>
      </c>
      <c r="D72" s="3">
        <v>42897.34652777778</v>
      </c>
      <c r="F72">
        <v>2017</v>
      </c>
      <c r="G72" t="s">
        <v>605</v>
      </c>
      <c r="H72" t="s">
        <v>352</v>
      </c>
      <c r="J72">
        <v>0</v>
      </c>
      <c r="L72">
        <v>1</v>
      </c>
      <c r="M72">
        <v>66</v>
      </c>
      <c r="N72">
        <v>3</v>
      </c>
      <c r="O72" t="s">
        <v>353</v>
      </c>
      <c r="R72" t="s">
        <v>608</v>
      </c>
      <c r="U72">
        <v>7</v>
      </c>
      <c r="V72">
        <v>7</v>
      </c>
      <c r="W72" t="s">
        <v>350</v>
      </c>
      <c r="X72" t="s">
        <v>349</v>
      </c>
      <c r="Y72" t="s">
        <v>348</v>
      </c>
      <c r="Z72">
        <v>2017</v>
      </c>
      <c r="AB72">
        <v>12</v>
      </c>
      <c r="AC72">
        <v>6.09</v>
      </c>
      <c r="AE72" t="s">
        <v>346</v>
      </c>
      <c r="AF72">
        <v>46.142674</v>
      </c>
      <c r="AG72">
        <v>-115.598088</v>
      </c>
      <c r="AH72">
        <v>14204292</v>
      </c>
    </row>
    <row r="73" spans="2:34">
      <c r="B73" t="s">
        <v>345</v>
      </c>
      <c r="C73" t="s">
        <v>607</v>
      </c>
      <c r="D73" s="3">
        <v>42897.34652777778</v>
      </c>
      <c r="F73">
        <v>2017</v>
      </c>
      <c r="G73" t="s">
        <v>611</v>
      </c>
      <c r="H73" t="s">
        <v>352</v>
      </c>
      <c r="J73">
        <v>0</v>
      </c>
      <c r="L73">
        <v>1</v>
      </c>
      <c r="M73">
        <v>81</v>
      </c>
      <c r="N73">
        <v>9</v>
      </c>
      <c r="O73" t="s">
        <v>353</v>
      </c>
      <c r="R73" t="s">
        <v>608</v>
      </c>
      <c r="U73">
        <v>7</v>
      </c>
      <c r="V73">
        <v>7</v>
      </c>
      <c r="W73" t="s">
        <v>350</v>
      </c>
      <c r="X73" t="s">
        <v>349</v>
      </c>
      <c r="Y73" t="s">
        <v>348</v>
      </c>
      <c r="Z73">
        <v>2017</v>
      </c>
      <c r="AB73">
        <v>12</v>
      </c>
      <c r="AC73">
        <v>6.09</v>
      </c>
      <c r="AE73" t="s">
        <v>346</v>
      </c>
      <c r="AF73">
        <v>46.142674</v>
      </c>
      <c r="AG73">
        <v>-115.598088</v>
      </c>
      <c r="AH73">
        <v>14204293</v>
      </c>
    </row>
    <row r="74" spans="2:34">
      <c r="B74" t="s">
        <v>345</v>
      </c>
      <c r="C74" t="s">
        <v>612</v>
      </c>
      <c r="D74" s="3">
        <v>42905.330555555556</v>
      </c>
      <c r="F74">
        <v>2017</v>
      </c>
      <c r="G74" t="s">
        <v>578</v>
      </c>
      <c r="H74" t="s">
        <v>352</v>
      </c>
      <c r="J74">
        <v>0</v>
      </c>
      <c r="L74">
        <v>1</v>
      </c>
      <c r="M74">
        <v>95</v>
      </c>
      <c r="N74">
        <v>9</v>
      </c>
      <c r="O74" t="s">
        <v>575</v>
      </c>
      <c r="Q74" t="s">
        <v>613</v>
      </c>
      <c r="R74" t="s">
        <v>614</v>
      </c>
      <c r="U74">
        <v>11</v>
      </c>
      <c r="V74">
        <v>9</v>
      </c>
      <c r="W74" t="s">
        <v>350</v>
      </c>
      <c r="X74" t="s">
        <v>349</v>
      </c>
      <c r="Y74" t="s">
        <v>580</v>
      </c>
      <c r="Z74">
        <v>2017</v>
      </c>
      <c r="AB74">
        <v>13</v>
      </c>
      <c r="AC74">
        <v>5.73</v>
      </c>
      <c r="AE74" t="s">
        <v>346</v>
      </c>
      <c r="AF74">
        <v>46.142674</v>
      </c>
      <c r="AG74">
        <v>-115.598088</v>
      </c>
      <c r="AH74">
        <v>14204339</v>
      </c>
    </row>
    <row r="75" spans="2:34">
      <c r="B75" t="s">
        <v>345</v>
      </c>
      <c r="C75" t="s">
        <v>612</v>
      </c>
      <c r="D75" s="3">
        <v>42905.330555555556</v>
      </c>
      <c r="F75">
        <v>2017</v>
      </c>
      <c r="G75" t="s">
        <v>615</v>
      </c>
      <c r="H75" t="s">
        <v>352</v>
      </c>
      <c r="J75">
        <v>0</v>
      </c>
      <c r="L75">
        <v>1</v>
      </c>
      <c r="M75">
        <v>120</v>
      </c>
      <c r="N75">
        <v>18</v>
      </c>
      <c r="O75" t="s">
        <v>353</v>
      </c>
      <c r="R75" t="s">
        <v>614</v>
      </c>
      <c r="U75">
        <v>11</v>
      </c>
      <c r="V75">
        <v>9</v>
      </c>
      <c r="W75" t="s">
        <v>350</v>
      </c>
      <c r="X75" t="s">
        <v>349</v>
      </c>
      <c r="Y75" t="s">
        <v>580</v>
      </c>
      <c r="Z75">
        <v>2017</v>
      </c>
      <c r="AB75">
        <v>13</v>
      </c>
      <c r="AC75">
        <v>5.73</v>
      </c>
      <c r="AE75" t="s">
        <v>346</v>
      </c>
      <c r="AF75">
        <v>46.142674</v>
      </c>
      <c r="AG75">
        <v>-115.598088</v>
      </c>
      <c r="AH75">
        <v>14204340</v>
      </c>
    </row>
    <row r="76" spans="2:34">
      <c r="B76" t="s">
        <v>345</v>
      </c>
      <c r="C76" t="s">
        <v>612</v>
      </c>
      <c r="D76" s="3">
        <v>42905.330555555556</v>
      </c>
      <c r="F76">
        <v>2017</v>
      </c>
      <c r="G76" t="s">
        <v>578</v>
      </c>
      <c r="H76" t="s">
        <v>352</v>
      </c>
      <c r="J76">
        <v>0</v>
      </c>
      <c r="L76">
        <v>1</v>
      </c>
      <c r="M76">
        <v>109</v>
      </c>
      <c r="N76">
        <v>15</v>
      </c>
      <c r="O76" t="s">
        <v>575</v>
      </c>
      <c r="Q76" t="s">
        <v>616</v>
      </c>
      <c r="R76" t="s">
        <v>614</v>
      </c>
      <c r="U76">
        <v>11</v>
      </c>
      <c r="V76">
        <v>9</v>
      </c>
      <c r="W76" t="s">
        <v>350</v>
      </c>
      <c r="X76" t="s">
        <v>349</v>
      </c>
      <c r="Y76" t="s">
        <v>580</v>
      </c>
      <c r="Z76">
        <v>2017</v>
      </c>
      <c r="AB76">
        <v>13</v>
      </c>
      <c r="AC76">
        <v>5.73</v>
      </c>
      <c r="AE76" t="s">
        <v>346</v>
      </c>
      <c r="AF76">
        <v>46.142674</v>
      </c>
      <c r="AG76">
        <v>-115.598088</v>
      </c>
      <c r="AH76">
        <v>14204341</v>
      </c>
    </row>
    <row r="77" spans="2:34">
      <c r="B77" t="s">
        <v>345</v>
      </c>
      <c r="C77" t="s">
        <v>612</v>
      </c>
      <c r="D77" s="3">
        <v>42905.330555555556</v>
      </c>
      <c r="F77">
        <v>2017</v>
      </c>
      <c r="G77" t="s">
        <v>605</v>
      </c>
      <c r="H77" t="s">
        <v>352</v>
      </c>
      <c r="J77">
        <v>0</v>
      </c>
      <c r="L77">
        <v>1</v>
      </c>
      <c r="M77">
        <v>75</v>
      </c>
      <c r="N77">
        <v>5</v>
      </c>
      <c r="O77" t="s">
        <v>353</v>
      </c>
      <c r="R77" t="s">
        <v>614</v>
      </c>
      <c r="U77">
        <v>11</v>
      </c>
      <c r="V77">
        <v>9</v>
      </c>
      <c r="W77" t="s">
        <v>350</v>
      </c>
      <c r="X77" t="s">
        <v>349</v>
      </c>
      <c r="Y77" t="s">
        <v>580</v>
      </c>
      <c r="Z77">
        <v>2017</v>
      </c>
      <c r="AB77">
        <v>13</v>
      </c>
      <c r="AC77">
        <v>5.73</v>
      </c>
      <c r="AE77" t="s">
        <v>346</v>
      </c>
      <c r="AF77">
        <v>46.142674</v>
      </c>
      <c r="AG77">
        <v>-115.598088</v>
      </c>
      <c r="AH77">
        <v>14204342</v>
      </c>
    </row>
    <row r="78" spans="2:34">
      <c r="B78" t="s">
        <v>345</v>
      </c>
      <c r="C78" t="s">
        <v>612</v>
      </c>
      <c r="D78" s="3">
        <v>42905.330555555556</v>
      </c>
      <c r="F78">
        <v>2017</v>
      </c>
      <c r="G78" t="s">
        <v>578</v>
      </c>
      <c r="H78" t="s">
        <v>352</v>
      </c>
      <c r="J78">
        <v>0</v>
      </c>
      <c r="L78">
        <v>1</v>
      </c>
      <c r="M78">
        <v>108</v>
      </c>
      <c r="N78">
        <v>13</v>
      </c>
      <c r="O78" t="s">
        <v>575</v>
      </c>
      <c r="Q78" t="s">
        <v>617</v>
      </c>
      <c r="R78" t="s">
        <v>614</v>
      </c>
      <c r="U78">
        <v>11</v>
      </c>
      <c r="V78">
        <v>9</v>
      </c>
      <c r="W78" t="s">
        <v>350</v>
      </c>
      <c r="X78" t="s">
        <v>349</v>
      </c>
      <c r="Y78" t="s">
        <v>580</v>
      </c>
      <c r="Z78">
        <v>2017</v>
      </c>
      <c r="AB78">
        <v>13</v>
      </c>
      <c r="AC78">
        <v>5.73</v>
      </c>
      <c r="AE78" t="s">
        <v>346</v>
      </c>
      <c r="AF78">
        <v>46.142674</v>
      </c>
      <c r="AG78">
        <v>-115.598088</v>
      </c>
      <c r="AH78">
        <v>14204343</v>
      </c>
    </row>
    <row r="79" spans="2:34">
      <c r="B79" t="s">
        <v>345</v>
      </c>
      <c r="C79" t="s">
        <v>618</v>
      </c>
      <c r="D79" s="3">
        <v>43002.438888888886</v>
      </c>
      <c r="F79">
        <v>2017</v>
      </c>
      <c r="G79" t="s">
        <v>574</v>
      </c>
      <c r="H79" t="s">
        <v>352</v>
      </c>
      <c r="J79">
        <v>0</v>
      </c>
      <c r="L79">
        <v>1</v>
      </c>
      <c r="M79">
        <v>76</v>
      </c>
      <c r="N79">
        <v>5</v>
      </c>
      <c r="O79" t="s">
        <v>575</v>
      </c>
      <c r="Q79" t="s">
        <v>576</v>
      </c>
      <c r="R79" t="s">
        <v>603</v>
      </c>
      <c r="U79">
        <v>9.5</v>
      </c>
      <c r="V79">
        <v>9.5</v>
      </c>
      <c r="W79" t="s">
        <v>350</v>
      </c>
      <c r="X79" t="s">
        <v>349</v>
      </c>
      <c r="Y79" t="s">
        <v>348</v>
      </c>
      <c r="Z79">
        <v>2017</v>
      </c>
      <c r="AB79">
        <v>8</v>
      </c>
      <c r="AC79">
        <v>1.95</v>
      </c>
      <c r="AE79" t="s">
        <v>346</v>
      </c>
      <c r="AF79">
        <v>46.142674</v>
      </c>
      <c r="AG79">
        <v>-115.598088</v>
      </c>
      <c r="AH79">
        <v>14206785</v>
      </c>
    </row>
    <row r="80" spans="2:34">
      <c r="B80" t="s">
        <v>345</v>
      </c>
      <c r="C80" t="s">
        <v>619</v>
      </c>
      <c r="D80" s="3">
        <v>42898.570833333331</v>
      </c>
      <c r="F80">
        <v>2017</v>
      </c>
      <c r="G80" t="s">
        <v>574</v>
      </c>
      <c r="H80" t="s">
        <v>352</v>
      </c>
      <c r="J80">
        <v>0</v>
      </c>
      <c r="L80">
        <v>1</v>
      </c>
      <c r="M80">
        <v>44</v>
      </c>
      <c r="N80">
        <v>2</v>
      </c>
      <c r="O80" t="s">
        <v>353</v>
      </c>
      <c r="R80" t="s">
        <v>620</v>
      </c>
      <c r="U80">
        <v>13</v>
      </c>
      <c r="V80">
        <v>10</v>
      </c>
      <c r="W80" t="s">
        <v>350</v>
      </c>
      <c r="X80" t="s">
        <v>349</v>
      </c>
      <c r="Y80" t="s">
        <v>580</v>
      </c>
      <c r="Z80">
        <v>2017</v>
      </c>
      <c r="AB80">
        <v>12</v>
      </c>
      <c r="AC80">
        <v>5.63</v>
      </c>
      <c r="AE80" t="s">
        <v>346</v>
      </c>
      <c r="AF80">
        <v>46.142674</v>
      </c>
      <c r="AG80">
        <v>-115.598088</v>
      </c>
      <c r="AH80">
        <v>14179701</v>
      </c>
    </row>
    <row r="81" spans="2:35">
      <c r="B81" t="s">
        <v>345</v>
      </c>
      <c r="C81" t="s">
        <v>619</v>
      </c>
      <c r="D81" s="3">
        <v>42898.570833333331</v>
      </c>
      <c r="F81">
        <v>2017</v>
      </c>
      <c r="G81" t="s">
        <v>578</v>
      </c>
      <c r="H81" t="s">
        <v>352</v>
      </c>
      <c r="J81">
        <v>0</v>
      </c>
      <c r="L81">
        <v>1</v>
      </c>
      <c r="M81">
        <v>87</v>
      </c>
      <c r="N81">
        <v>10</v>
      </c>
      <c r="O81" t="s">
        <v>575</v>
      </c>
      <c r="Q81" t="s">
        <v>621</v>
      </c>
      <c r="R81" t="s">
        <v>620</v>
      </c>
      <c r="U81">
        <v>13</v>
      </c>
      <c r="V81">
        <v>10</v>
      </c>
      <c r="W81" t="s">
        <v>350</v>
      </c>
      <c r="X81" t="s">
        <v>349</v>
      </c>
      <c r="Y81" t="s">
        <v>580</v>
      </c>
      <c r="Z81">
        <v>2017</v>
      </c>
      <c r="AB81">
        <v>12</v>
      </c>
      <c r="AC81">
        <v>5.63</v>
      </c>
      <c r="AE81" t="s">
        <v>346</v>
      </c>
      <c r="AF81">
        <v>46.142674</v>
      </c>
      <c r="AG81">
        <v>-115.598088</v>
      </c>
      <c r="AH81">
        <v>14179702</v>
      </c>
    </row>
    <row r="82" spans="2:35">
      <c r="B82" t="s">
        <v>345</v>
      </c>
      <c r="C82" t="s">
        <v>619</v>
      </c>
      <c r="D82" s="3">
        <v>42898.570833333331</v>
      </c>
      <c r="F82">
        <v>2017</v>
      </c>
      <c r="G82" t="s">
        <v>351</v>
      </c>
      <c r="H82" t="s">
        <v>352</v>
      </c>
      <c r="J82">
        <v>0</v>
      </c>
      <c r="L82">
        <v>1</v>
      </c>
      <c r="M82">
        <v>139</v>
      </c>
      <c r="N82">
        <v>4</v>
      </c>
      <c r="O82" t="s">
        <v>353</v>
      </c>
      <c r="R82" t="s">
        <v>620</v>
      </c>
      <c r="U82">
        <v>13</v>
      </c>
      <c r="V82">
        <v>10</v>
      </c>
      <c r="W82" t="s">
        <v>350</v>
      </c>
      <c r="X82" t="s">
        <v>349</v>
      </c>
      <c r="Y82" t="s">
        <v>580</v>
      </c>
      <c r="Z82">
        <v>2017</v>
      </c>
      <c r="AB82">
        <v>12</v>
      </c>
      <c r="AC82">
        <v>5.63</v>
      </c>
      <c r="AE82" t="s">
        <v>346</v>
      </c>
      <c r="AF82">
        <v>46.142674</v>
      </c>
      <c r="AG82">
        <v>-115.598088</v>
      </c>
      <c r="AH82">
        <v>14179703</v>
      </c>
    </row>
    <row r="83" spans="2:35">
      <c r="B83" t="s">
        <v>345</v>
      </c>
      <c r="C83" t="s">
        <v>619</v>
      </c>
      <c r="D83" s="3">
        <v>42898.570833333331</v>
      </c>
      <c r="F83">
        <v>2017</v>
      </c>
      <c r="G83" t="s">
        <v>574</v>
      </c>
      <c r="H83" t="s">
        <v>352</v>
      </c>
      <c r="J83">
        <v>0</v>
      </c>
      <c r="L83">
        <v>1</v>
      </c>
      <c r="M83">
        <v>93</v>
      </c>
      <c r="N83">
        <v>11</v>
      </c>
      <c r="O83" t="s">
        <v>575</v>
      </c>
      <c r="Q83" t="s">
        <v>576</v>
      </c>
      <c r="R83" t="s">
        <v>620</v>
      </c>
      <c r="U83">
        <v>13</v>
      </c>
      <c r="V83">
        <v>10</v>
      </c>
      <c r="W83" t="s">
        <v>350</v>
      </c>
      <c r="X83" t="s">
        <v>349</v>
      </c>
      <c r="Y83" t="s">
        <v>580</v>
      </c>
      <c r="Z83">
        <v>2017</v>
      </c>
      <c r="AB83">
        <v>12</v>
      </c>
      <c r="AC83">
        <v>5.63</v>
      </c>
      <c r="AE83" t="s">
        <v>346</v>
      </c>
      <c r="AF83">
        <v>46.142674</v>
      </c>
      <c r="AG83">
        <v>-115.598088</v>
      </c>
      <c r="AH83">
        <v>14179704</v>
      </c>
    </row>
    <row r="84" spans="2:35">
      <c r="B84" t="s">
        <v>345</v>
      </c>
      <c r="C84" t="s">
        <v>619</v>
      </c>
      <c r="D84" s="3">
        <v>42898.570833333331</v>
      </c>
      <c r="F84">
        <v>2017</v>
      </c>
      <c r="G84" t="s">
        <v>351</v>
      </c>
      <c r="H84" t="s">
        <v>352</v>
      </c>
      <c r="J84">
        <v>0</v>
      </c>
      <c r="L84">
        <v>1</v>
      </c>
      <c r="M84">
        <v>105</v>
      </c>
      <c r="N84">
        <v>2</v>
      </c>
      <c r="O84" t="s">
        <v>353</v>
      </c>
      <c r="R84" t="s">
        <v>620</v>
      </c>
      <c r="U84">
        <v>13</v>
      </c>
      <c r="V84">
        <v>10</v>
      </c>
      <c r="W84" t="s">
        <v>350</v>
      </c>
      <c r="X84" t="s">
        <v>349</v>
      </c>
      <c r="Y84" t="s">
        <v>580</v>
      </c>
      <c r="Z84">
        <v>2017</v>
      </c>
      <c r="AB84">
        <v>12</v>
      </c>
      <c r="AC84">
        <v>5.63</v>
      </c>
      <c r="AE84" t="s">
        <v>346</v>
      </c>
      <c r="AF84">
        <v>46.142674</v>
      </c>
      <c r="AG84">
        <v>-115.598088</v>
      </c>
      <c r="AH84">
        <v>14179705</v>
      </c>
    </row>
    <row r="85" spans="2:35">
      <c r="B85" t="s">
        <v>345</v>
      </c>
      <c r="C85" t="s">
        <v>619</v>
      </c>
      <c r="D85" s="3">
        <v>42898.570833333331</v>
      </c>
      <c r="F85">
        <v>2017</v>
      </c>
      <c r="G85" t="s">
        <v>605</v>
      </c>
      <c r="H85" t="s">
        <v>352</v>
      </c>
      <c r="J85">
        <v>0</v>
      </c>
      <c r="L85">
        <v>1</v>
      </c>
      <c r="M85">
        <v>74</v>
      </c>
      <c r="N85">
        <v>4</v>
      </c>
      <c r="O85" t="s">
        <v>353</v>
      </c>
      <c r="R85" t="s">
        <v>620</v>
      </c>
      <c r="U85">
        <v>13</v>
      </c>
      <c r="V85">
        <v>10</v>
      </c>
      <c r="W85" t="s">
        <v>350</v>
      </c>
      <c r="X85" t="s">
        <v>349</v>
      </c>
      <c r="Y85" t="s">
        <v>580</v>
      </c>
      <c r="Z85">
        <v>2017</v>
      </c>
      <c r="AB85">
        <v>12</v>
      </c>
      <c r="AC85">
        <v>5.63</v>
      </c>
      <c r="AE85" t="s">
        <v>346</v>
      </c>
      <c r="AF85">
        <v>46.142674</v>
      </c>
      <c r="AG85">
        <v>-115.598088</v>
      </c>
      <c r="AH85">
        <v>14179706</v>
      </c>
    </row>
    <row r="86" spans="2:35">
      <c r="B86" t="s">
        <v>345</v>
      </c>
      <c r="C86" t="s">
        <v>622</v>
      </c>
      <c r="D86" s="3">
        <v>42847.304166666669</v>
      </c>
      <c r="F86">
        <v>2017</v>
      </c>
      <c r="G86" t="s">
        <v>578</v>
      </c>
      <c r="H86" t="s">
        <v>352</v>
      </c>
      <c r="J86">
        <v>0</v>
      </c>
      <c r="L86">
        <v>1</v>
      </c>
      <c r="M86">
        <v>196</v>
      </c>
      <c r="N86">
        <v>68</v>
      </c>
      <c r="O86" t="s">
        <v>575</v>
      </c>
      <c r="Q86" t="s">
        <v>623</v>
      </c>
      <c r="R86" t="s">
        <v>624</v>
      </c>
      <c r="U86">
        <v>5</v>
      </c>
      <c r="V86">
        <v>5</v>
      </c>
      <c r="W86" t="s">
        <v>350</v>
      </c>
      <c r="X86" t="s">
        <v>349</v>
      </c>
      <c r="Y86" t="s">
        <v>580</v>
      </c>
      <c r="Z86">
        <v>2017</v>
      </c>
      <c r="AB86">
        <v>13</v>
      </c>
      <c r="AC86">
        <v>5.46</v>
      </c>
      <c r="AE86" t="s">
        <v>346</v>
      </c>
      <c r="AF86">
        <v>46.142674</v>
      </c>
      <c r="AG86">
        <v>-115.598088</v>
      </c>
      <c r="AH86">
        <v>14233088</v>
      </c>
    </row>
    <row r="87" spans="2:35">
      <c r="B87" t="s">
        <v>345</v>
      </c>
      <c r="C87" t="s">
        <v>622</v>
      </c>
      <c r="D87" s="3">
        <v>42847.304166666669</v>
      </c>
      <c r="F87">
        <v>2017</v>
      </c>
      <c r="G87" t="s">
        <v>574</v>
      </c>
      <c r="H87" t="s">
        <v>352</v>
      </c>
      <c r="J87">
        <v>0</v>
      </c>
      <c r="L87">
        <v>1</v>
      </c>
      <c r="M87">
        <v>86</v>
      </c>
      <c r="N87">
        <v>9</v>
      </c>
      <c r="O87" t="s">
        <v>575</v>
      </c>
      <c r="Q87" t="s">
        <v>576</v>
      </c>
      <c r="R87" t="s">
        <v>624</v>
      </c>
      <c r="U87">
        <v>5</v>
      </c>
      <c r="V87">
        <v>5</v>
      </c>
      <c r="W87" t="s">
        <v>350</v>
      </c>
      <c r="X87" t="s">
        <v>349</v>
      </c>
      <c r="Y87" t="s">
        <v>580</v>
      </c>
      <c r="Z87">
        <v>2017</v>
      </c>
      <c r="AB87">
        <v>13</v>
      </c>
      <c r="AC87">
        <v>5.46</v>
      </c>
      <c r="AE87" t="s">
        <v>346</v>
      </c>
      <c r="AF87">
        <v>46.142674</v>
      </c>
      <c r="AG87">
        <v>-115.598088</v>
      </c>
      <c r="AH87">
        <v>14233089</v>
      </c>
    </row>
    <row r="88" spans="2:35">
      <c r="B88" t="s">
        <v>345</v>
      </c>
      <c r="C88" t="s">
        <v>622</v>
      </c>
      <c r="D88" s="3">
        <v>42847.304166666669</v>
      </c>
      <c r="F88">
        <v>2017</v>
      </c>
      <c r="G88" t="s">
        <v>578</v>
      </c>
      <c r="H88" t="s">
        <v>352</v>
      </c>
      <c r="J88">
        <v>0</v>
      </c>
      <c r="L88">
        <v>1</v>
      </c>
      <c r="M88">
        <v>191</v>
      </c>
      <c r="N88">
        <v>64</v>
      </c>
      <c r="O88" t="s">
        <v>575</v>
      </c>
      <c r="Q88" t="s">
        <v>625</v>
      </c>
      <c r="R88" t="s">
        <v>624</v>
      </c>
      <c r="U88">
        <v>5</v>
      </c>
      <c r="V88">
        <v>5</v>
      </c>
      <c r="W88" t="s">
        <v>350</v>
      </c>
      <c r="X88" t="s">
        <v>349</v>
      </c>
      <c r="Y88" t="s">
        <v>580</v>
      </c>
      <c r="Z88">
        <v>2017</v>
      </c>
      <c r="AB88">
        <v>13</v>
      </c>
      <c r="AC88">
        <v>5.46</v>
      </c>
      <c r="AE88" t="s">
        <v>346</v>
      </c>
      <c r="AF88">
        <v>46.142674</v>
      </c>
      <c r="AG88">
        <v>-115.598088</v>
      </c>
      <c r="AH88">
        <v>14233090</v>
      </c>
    </row>
    <row r="89" spans="2:35">
      <c r="B89" t="s">
        <v>345</v>
      </c>
      <c r="C89" t="s">
        <v>622</v>
      </c>
      <c r="D89" s="3">
        <v>42847.304166666669</v>
      </c>
      <c r="F89">
        <v>2017</v>
      </c>
      <c r="G89" t="s">
        <v>578</v>
      </c>
      <c r="H89" t="s">
        <v>352</v>
      </c>
      <c r="J89">
        <v>0</v>
      </c>
      <c r="L89">
        <v>1</v>
      </c>
      <c r="M89">
        <v>165</v>
      </c>
      <c r="N89">
        <v>39</v>
      </c>
      <c r="O89" t="s">
        <v>575</v>
      </c>
      <c r="Q89" t="s">
        <v>626</v>
      </c>
      <c r="R89" t="s">
        <v>624</v>
      </c>
      <c r="U89">
        <v>5</v>
      </c>
      <c r="V89">
        <v>5</v>
      </c>
      <c r="W89" t="s">
        <v>350</v>
      </c>
      <c r="X89" t="s">
        <v>349</v>
      </c>
      <c r="Y89" t="s">
        <v>580</v>
      </c>
      <c r="Z89">
        <v>2017</v>
      </c>
      <c r="AB89">
        <v>13</v>
      </c>
      <c r="AC89">
        <v>5.46</v>
      </c>
      <c r="AE89" t="s">
        <v>346</v>
      </c>
      <c r="AF89">
        <v>46.142674</v>
      </c>
      <c r="AG89">
        <v>-115.598088</v>
      </c>
      <c r="AH89">
        <v>14233091</v>
      </c>
    </row>
    <row r="90" spans="2:35">
      <c r="B90" t="s">
        <v>345</v>
      </c>
      <c r="C90" t="s">
        <v>622</v>
      </c>
      <c r="D90" s="3">
        <v>42847.304166666669</v>
      </c>
      <c r="F90">
        <v>2017</v>
      </c>
      <c r="G90" t="s">
        <v>578</v>
      </c>
      <c r="H90" t="s">
        <v>352</v>
      </c>
      <c r="J90">
        <v>0</v>
      </c>
      <c r="L90">
        <v>1</v>
      </c>
      <c r="M90">
        <v>196</v>
      </c>
      <c r="N90">
        <v>63</v>
      </c>
      <c r="O90" t="s">
        <v>575</v>
      </c>
      <c r="Q90" t="s">
        <v>627</v>
      </c>
      <c r="R90" t="s">
        <v>624</v>
      </c>
      <c r="U90">
        <v>5</v>
      </c>
      <c r="V90">
        <v>5</v>
      </c>
      <c r="W90" t="s">
        <v>350</v>
      </c>
      <c r="X90" t="s">
        <v>349</v>
      </c>
      <c r="Y90" t="s">
        <v>580</v>
      </c>
      <c r="Z90">
        <v>2017</v>
      </c>
      <c r="AB90">
        <v>13</v>
      </c>
      <c r="AC90">
        <v>5.46</v>
      </c>
      <c r="AE90" t="s">
        <v>346</v>
      </c>
      <c r="AF90">
        <v>46.142674</v>
      </c>
      <c r="AG90">
        <v>-115.598088</v>
      </c>
      <c r="AH90">
        <v>14233092</v>
      </c>
    </row>
    <row r="91" spans="2:35">
      <c r="B91" t="s">
        <v>345</v>
      </c>
      <c r="C91" t="s">
        <v>622</v>
      </c>
      <c r="D91" s="3">
        <v>42847.304166666669</v>
      </c>
      <c r="F91">
        <v>2017</v>
      </c>
      <c r="G91" t="s">
        <v>578</v>
      </c>
      <c r="H91" t="s">
        <v>352</v>
      </c>
      <c r="J91">
        <v>0</v>
      </c>
      <c r="L91">
        <v>1</v>
      </c>
      <c r="M91">
        <v>150</v>
      </c>
      <c r="N91">
        <v>36</v>
      </c>
      <c r="O91" t="s">
        <v>575</v>
      </c>
      <c r="Q91" t="s">
        <v>628</v>
      </c>
      <c r="R91" t="s">
        <v>624</v>
      </c>
      <c r="U91">
        <v>5</v>
      </c>
      <c r="V91">
        <v>5</v>
      </c>
      <c r="W91" t="s">
        <v>350</v>
      </c>
      <c r="X91" t="s">
        <v>349</v>
      </c>
      <c r="Y91" t="s">
        <v>580</v>
      </c>
      <c r="Z91">
        <v>2017</v>
      </c>
      <c r="AB91">
        <v>13</v>
      </c>
      <c r="AC91">
        <v>5.46</v>
      </c>
      <c r="AE91" t="s">
        <v>346</v>
      </c>
      <c r="AF91">
        <v>46.142674</v>
      </c>
      <c r="AG91">
        <v>-115.598088</v>
      </c>
      <c r="AH91">
        <v>14233093</v>
      </c>
    </row>
    <row r="92" spans="2:35">
      <c r="B92" t="s">
        <v>345</v>
      </c>
      <c r="C92" t="s">
        <v>622</v>
      </c>
      <c r="D92" s="3">
        <v>42847.304166666669</v>
      </c>
      <c r="F92">
        <v>2017</v>
      </c>
      <c r="G92" t="s">
        <v>578</v>
      </c>
      <c r="H92" t="s">
        <v>352</v>
      </c>
      <c r="J92">
        <v>0</v>
      </c>
      <c r="L92">
        <v>1</v>
      </c>
      <c r="M92">
        <v>174</v>
      </c>
      <c r="N92">
        <v>46</v>
      </c>
      <c r="O92" t="s">
        <v>575</v>
      </c>
      <c r="Q92" t="s">
        <v>629</v>
      </c>
      <c r="R92" t="s">
        <v>624</v>
      </c>
      <c r="U92">
        <v>5</v>
      </c>
      <c r="V92">
        <v>5</v>
      </c>
      <c r="W92" t="s">
        <v>350</v>
      </c>
      <c r="X92" t="s">
        <v>349</v>
      </c>
      <c r="Y92" t="s">
        <v>580</v>
      </c>
      <c r="Z92">
        <v>2017</v>
      </c>
      <c r="AB92">
        <v>13</v>
      </c>
      <c r="AC92">
        <v>5.46</v>
      </c>
      <c r="AE92" t="s">
        <v>346</v>
      </c>
      <c r="AF92">
        <v>46.142674</v>
      </c>
      <c r="AG92">
        <v>-115.598088</v>
      </c>
      <c r="AH92">
        <v>14233094</v>
      </c>
    </row>
    <row r="93" spans="2:35">
      <c r="B93" t="s">
        <v>345</v>
      </c>
      <c r="C93" t="s">
        <v>622</v>
      </c>
      <c r="D93" s="3">
        <v>42847.304166666669</v>
      </c>
      <c r="F93">
        <v>2017</v>
      </c>
      <c r="G93" t="s">
        <v>578</v>
      </c>
      <c r="H93" t="s">
        <v>352</v>
      </c>
      <c r="J93">
        <v>0</v>
      </c>
      <c r="L93">
        <v>1</v>
      </c>
      <c r="M93">
        <v>159</v>
      </c>
      <c r="N93">
        <v>31</v>
      </c>
      <c r="O93" t="s">
        <v>575</v>
      </c>
      <c r="Q93" t="s">
        <v>630</v>
      </c>
      <c r="R93" t="s">
        <v>624</v>
      </c>
      <c r="U93">
        <v>5</v>
      </c>
      <c r="V93">
        <v>5</v>
      </c>
      <c r="W93" t="s">
        <v>350</v>
      </c>
      <c r="X93" t="s">
        <v>349</v>
      </c>
      <c r="Y93" t="s">
        <v>580</v>
      </c>
      <c r="Z93">
        <v>2017</v>
      </c>
      <c r="AB93">
        <v>13</v>
      </c>
      <c r="AC93">
        <v>5.46</v>
      </c>
      <c r="AE93" t="s">
        <v>346</v>
      </c>
      <c r="AF93">
        <v>46.142674</v>
      </c>
      <c r="AG93">
        <v>-115.598088</v>
      </c>
      <c r="AH93">
        <v>14233095</v>
      </c>
    </row>
    <row r="94" spans="2:35">
      <c r="B94" t="s">
        <v>345</v>
      </c>
      <c r="C94" t="s">
        <v>622</v>
      </c>
      <c r="D94" s="3">
        <v>42847.304166666669</v>
      </c>
      <c r="F94">
        <v>2017</v>
      </c>
      <c r="G94" t="s">
        <v>574</v>
      </c>
      <c r="H94" t="s">
        <v>352</v>
      </c>
      <c r="J94">
        <v>0</v>
      </c>
      <c r="L94">
        <v>1</v>
      </c>
      <c r="M94">
        <v>96</v>
      </c>
      <c r="N94">
        <v>10</v>
      </c>
      <c r="O94" t="s">
        <v>575</v>
      </c>
      <c r="Q94" t="s">
        <v>576</v>
      </c>
      <c r="R94" t="s">
        <v>624</v>
      </c>
      <c r="U94">
        <v>5</v>
      </c>
      <c r="V94">
        <v>5</v>
      </c>
      <c r="W94" t="s">
        <v>350</v>
      </c>
      <c r="X94" t="s">
        <v>349</v>
      </c>
      <c r="Y94" t="s">
        <v>580</v>
      </c>
      <c r="Z94">
        <v>2017</v>
      </c>
      <c r="AB94">
        <v>13</v>
      </c>
      <c r="AC94">
        <v>5.46</v>
      </c>
      <c r="AE94" t="s">
        <v>346</v>
      </c>
      <c r="AF94">
        <v>46.142674</v>
      </c>
      <c r="AG94">
        <v>-115.598088</v>
      </c>
      <c r="AH94">
        <v>14233096</v>
      </c>
    </row>
    <row r="95" spans="2:35">
      <c r="B95" t="s">
        <v>345</v>
      </c>
      <c r="C95" t="s">
        <v>618</v>
      </c>
      <c r="D95" s="3">
        <v>43002.438888888886</v>
      </c>
      <c r="F95">
        <v>2017</v>
      </c>
      <c r="G95" t="s">
        <v>578</v>
      </c>
      <c r="H95" t="s">
        <v>352</v>
      </c>
      <c r="J95">
        <v>0</v>
      </c>
      <c r="L95">
        <v>1</v>
      </c>
      <c r="M95">
        <v>112</v>
      </c>
      <c r="N95">
        <v>14</v>
      </c>
      <c r="O95" t="s">
        <v>575</v>
      </c>
      <c r="Q95" t="s">
        <v>631</v>
      </c>
      <c r="R95" t="s">
        <v>603</v>
      </c>
      <c r="U95">
        <v>9.5</v>
      </c>
      <c r="V95">
        <v>9.5</v>
      </c>
      <c r="W95" t="s">
        <v>350</v>
      </c>
      <c r="X95" t="s">
        <v>349</v>
      </c>
      <c r="Y95" t="s">
        <v>348</v>
      </c>
      <c r="Z95">
        <v>2017</v>
      </c>
      <c r="AB95">
        <v>8</v>
      </c>
      <c r="AC95">
        <v>1.95</v>
      </c>
      <c r="AE95" t="s">
        <v>346</v>
      </c>
      <c r="AF95">
        <v>46.142674</v>
      </c>
      <c r="AG95">
        <v>-115.598088</v>
      </c>
      <c r="AH95">
        <v>14206786</v>
      </c>
      <c r="AI95">
        <f>17-76566</f>
        <v>-76549</v>
      </c>
    </row>
    <row r="96" spans="2:35">
      <c r="B96" t="s">
        <v>345</v>
      </c>
      <c r="C96" t="s">
        <v>618</v>
      </c>
      <c r="D96" s="3">
        <v>43002.438888888886</v>
      </c>
      <c r="F96">
        <v>2017</v>
      </c>
      <c r="G96" t="s">
        <v>574</v>
      </c>
      <c r="H96" t="s">
        <v>352</v>
      </c>
      <c r="J96">
        <v>0</v>
      </c>
      <c r="L96">
        <v>1</v>
      </c>
      <c r="M96">
        <v>68</v>
      </c>
      <c r="N96">
        <v>3</v>
      </c>
      <c r="O96" t="s">
        <v>575</v>
      </c>
      <c r="Q96" t="s">
        <v>576</v>
      </c>
      <c r="R96" t="s">
        <v>603</v>
      </c>
      <c r="U96">
        <v>9.5</v>
      </c>
      <c r="V96">
        <v>9.5</v>
      </c>
      <c r="W96" t="s">
        <v>350</v>
      </c>
      <c r="X96" t="s">
        <v>349</v>
      </c>
      <c r="Y96" t="s">
        <v>348</v>
      </c>
      <c r="Z96">
        <v>2017</v>
      </c>
      <c r="AB96">
        <v>8</v>
      </c>
      <c r="AC96">
        <v>1.95</v>
      </c>
      <c r="AE96" t="s">
        <v>346</v>
      </c>
      <c r="AF96">
        <v>46.142674</v>
      </c>
      <c r="AG96">
        <v>-115.598088</v>
      </c>
      <c r="AH96">
        <v>14206787</v>
      </c>
    </row>
    <row r="97" spans="2:35">
      <c r="B97" t="s">
        <v>345</v>
      </c>
      <c r="C97" t="s">
        <v>618</v>
      </c>
      <c r="D97" s="3">
        <v>43002.438888888886</v>
      </c>
      <c r="F97">
        <v>2017</v>
      </c>
      <c r="G97" t="s">
        <v>482</v>
      </c>
      <c r="H97" t="s">
        <v>352</v>
      </c>
      <c r="J97">
        <v>0</v>
      </c>
      <c r="L97">
        <v>1</v>
      </c>
      <c r="M97">
        <v>205</v>
      </c>
      <c r="N97">
        <v>109</v>
      </c>
      <c r="O97" t="s">
        <v>353</v>
      </c>
      <c r="R97" t="s">
        <v>603</v>
      </c>
      <c r="U97">
        <v>9.5</v>
      </c>
      <c r="V97">
        <v>9.5</v>
      </c>
      <c r="W97" t="s">
        <v>350</v>
      </c>
      <c r="X97" t="s">
        <v>349</v>
      </c>
      <c r="Y97" t="s">
        <v>348</v>
      </c>
      <c r="Z97">
        <v>2017</v>
      </c>
      <c r="AB97">
        <v>8</v>
      </c>
      <c r="AC97">
        <v>1.95</v>
      </c>
      <c r="AE97" t="s">
        <v>346</v>
      </c>
      <c r="AF97">
        <v>46.142674</v>
      </c>
      <c r="AG97">
        <v>-115.598088</v>
      </c>
      <c r="AH97">
        <v>14206788</v>
      </c>
    </row>
    <row r="98" spans="2:35">
      <c r="B98" t="s">
        <v>345</v>
      </c>
      <c r="C98" t="s">
        <v>618</v>
      </c>
      <c r="D98" s="3">
        <v>43002.438888888886</v>
      </c>
      <c r="F98">
        <v>2017</v>
      </c>
      <c r="G98" t="s">
        <v>605</v>
      </c>
      <c r="H98" t="s">
        <v>352</v>
      </c>
      <c r="J98">
        <v>0</v>
      </c>
      <c r="L98">
        <v>15</v>
      </c>
      <c r="M98">
        <v>0</v>
      </c>
      <c r="N98">
        <v>0</v>
      </c>
      <c r="O98" t="s">
        <v>606</v>
      </c>
      <c r="R98" t="s">
        <v>603</v>
      </c>
      <c r="U98">
        <v>9.5</v>
      </c>
      <c r="V98">
        <v>9.5</v>
      </c>
      <c r="W98" t="s">
        <v>350</v>
      </c>
      <c r="X98" t="s">
        <v>349</v>
      </c>
      <c r="Y98" t="s">
        <v>348</v>
      </c>
      <c r="Z98">
        <v>2017</v>
      </c>
      <c r="AB98">
        <v>8</v>
      </c>
      <c r="AC98">
        <v>1.95</v>
      </c>
      <c r="AE98" t="s">
        <v>346</v>
      </c>
      <c r="AF98">
        <v>46.142674</v>
      </c>
      <c r="AG98">
        <v>-115.598088</v>
      </c>
      <c r="AH98">
        <v>14206789</v>
      </c>
    </row>
    <row r="99" spans="2:35">
      <c r="B99" t="s">
        <v>345</v>
      </c>
      <c r="C99" t="s">
        <v>618</v>
      </c>
      <c r="D99" s="3">
        <v>43002.438888888886</v>
      </c>
      <c r="F99">
        <v>2017</v>
      </c>
      <c r="G99" t="s">
        <v>574</v>
      </c>
      <c r="H99" t="s">
        <v>352</v>
      </c>
      <c r="J99">
        <v>0</v>
      </c>
      <c r="L99">
        <v>1</v>
      </c>
      <c r="M99">
        <v>75</v>
      </c>
      <c r="N99">
        <v>5</v>
      </c>
      <c r="O99" t="s">
        <v>575</v>
      </c>
      <c r="Q99" t="s">
        <v>576</v>
      </c>
      <c r="R99" t="s">
        <v>603</v>
      </c>
      <c r="U99">
        <v>9.5</v>
      </c>
      <c r="V99">
        <v>9.5</v>
      </c>
      <c r="W99" t="s">
        <v>350</v>
      </c>
      <c r="X99" t="s">
        <v>349</v>
      </c>
      <c r="Y99" t="s">
        <v>348</v>
      </c>
      <c r="Z99">
        <v>2017</v>
      </c>
      <c r="AB99">
        <v>8</v>
      </c>
      <c r="AC99">
        <v>1.95</v>
      </c>
      <c r="AE99" t="s">
        <v>346</v>
      </c>
      <c r="AF99">
        <v>46.142674</v>
      </c>
      <c r="AG99">
        <v>-115.598088</v>
      </c>
      <c r="AH99">
        <v>14206790</v>
      </c>
    </row>
    <row r="100" spans="2:35">
      <c r="B100" t="s">
        <v>345</v>
      </c>
      <c r="C100" t="s">
        <v>618</v>
      </c>
      <c r="D100" s="3">
        <v>43002.438888888886</v>
      </c>
      <c r="F100">
        <v>2017</v>
      </c>
      <c r="G100" t="s">
        <v>604</v>
      </c>
      <c r="H100" t="s">
        <v>352</v>
      </c>
      <c r="J100">
        <v>0</v>
      </c>
      <c r="L100">
        <v>1</v>
      </c>
      <c r="M100">
        <v>0</v>
      </c>
      <c r="N100">
        <v>0</v>
      </c>
      <c r="O100" t="s">
        <v>353</v>
      </c>
      <c r="R100" t="s">
        <v>603</v>
      </c>
      <c r="U100">
        <v>9.5</v>
      </c>
      <c r="V100">
        <v>9.5</v>
      </c>
      <c r="W100" t="s">
        <v>350</v>
      </c>
      <c r="X100" t="s">
        <v>349</v>
      </c>
      <c r="Y100" t="s">
        <v>348</v>
      </c>
      <c r="Z100">
        <v>2017</v>
      </c>
      <c r="AB100">
        <v>8</v>
      </c>
      <c r="AC100">
        <v>1.95</v>
      </c>
      <c r="AE100" t="s">
        <v>346</v>
      </c>
      <c r="AF100">
        <v>46.142674</v>
      </c>
      <c r="AG100">
        <v>-115.598088</v>
      </c>
      <c r="AH100">
        <v>14206791</v>
      </c>
    </row>
    <row r="101" spans="2:35">
      <c r="B101" t="s">
        <v>345</v>
      </c>
      <c r="C101" t="s">
        <v>618</v>
      </c>
      <c r="D101" s="3">
        <v>43002.438888888886</v>
      </c>
      <c r="F101">
        <v>2017</v>
      </c>
      <c r="G101" t="s">
        <v>574</v>
      </c>
      <c r="H101" t="s">
        <v>352</v>
      </c>
      <c r="J101">
        <v>0</v>
      </c>
      <c r="L101">
        <v>1</v>
      </c>
      <c r="M101">
        <v>63</v>
      </c>
      <c r="N101">
        <v>3</v>
      </c>
      <c r="O101" t="s">
        <v>575</v>
      </c>
      <c r="Q101" t="s">
        <v>576</v>
      </c>
      <c r="R101" t="s">
        <v>603</v>
      </c>
      <c r="U101">
        <v>9.5</v>
      </c>
      <c r="V101">
        <v>9.5</v>
      </c>
      <c r="W101" t="s">
        <v>350</v>
      </c>
      <c r="X101" t="s">
        <v>349</v>
      </c>
      <c r="Y101" t="s">
        <v>348</v>
      </c>
      <c r="Z101">
        <v>2017</v>
      </c>
      <c r="AB101">
        <v>8</v>
      </c>
      <c r="AC101">
        <v>1.95</v>
      </c>
      <c r="AE101" t="s">
        <v>346</v>
      </c>
      <c r="AF101">
        <v>46.142674</v>
      </c>
      <c r="AG101">
        <v>-115.598088</v>
      </c>
      <c r="AH101">
        <v>14206792</v>
      </c>
    </row>
    <row r="102" spans="2:35">
      <c r="B102" t="s">
        <v>345</v>
      </c>
      <c r="C102" t="s">
        <v>632</v>
      </c>
      <c r="D102" s="3">
        <v>42867.279861111114</v>
      </c>
      <c r="F102">
        <v>2017</v>
      </c>
      <c r="G102" t="s">
        <v>578</v>
      </c>
      <c r="H102" t="s">
        <v>352</v>
      </c>
      <c r="J102">
        <v>0</v>
      </c>
      <c r="L102">
        <v>1</v>
      </c>
      <c r="M102">
        <v>158</v>
      </c>
      <c r="N102">
        <v>34</v>
      </c>
      <c r="O102" t="s">
        <v>575</v>
      </c>
      <c r="Q102" t="s">
        <v>633</v>
      </c>
      <c r="R102" t="s">
        <v>608</v>
      </c>
      <c r="U102">
        <v>7</v>
      </c>
      <c r="V102">
        <v>7</v>
      </c>
      <c r="W102" t="s">
        <v>350</v>
      </c>
      <c r="X102" t="s">
        <v>349</v>
      </c>
      <c r="Y102" t="s">
        <v>348</v>
      </c>
      <c r="Z102">
        <v>2017</v>
      </c>
      <c r="AB102">
        <v>13</v>
      </c>
      <c r="AC102">
        <v>8.5500000000000007</v>
      </c>
      <c r="AE102" t="s">
        <v>346</v>
      </c>
      <c r="AF102">
        <v>46.142674</v>
      </c>
      <c r="AG102">
        <v>-115.598088</v>
      </c>
      <c r="AH102">
        <v>14206936</v>
      </c>
      <c r="AI102">
        <f>17-76493</f>
        <v>-76476</v>
      </c>
    </row>
    <row r="103" spans="2:35">
      <c r="B103" t="s">
        <v>345</v>
      </c>
      <c r="C103" t="s">
        <v>632</v>
      </c>
      <c r="D103" s="3">
        <v>42867.279861111114</v>
      </c>
      <c r="F103">
        <v>2017</v>
      </c>
      <c r="G103" t="s">
        <v>578</v>
      </c>
      <c r="H103" t="s">
        <v>352</v>
      </c>
      <c r="J103">
        <v>0</v>
      </c>
      <c r="L103">
        <v>1</v>
      </c>
      <c r="M103">
        <v>145</v>
      </c>
      <c r="N103">
        <v>28</v>
      </c>
      <c r="O103" t="s">
        <v>634</v>
      </c>
      <c r="P103" t="s">
        <v>635</v>
      </c>
      <c r="Q103" t="s">
        <v>635</v>
      </c>
      <c r="R103" t="s">
        <v>608</v>
      </c>
      <c r="U103">
        <v>7</v>
      </c>
      <c r="V103">
        <v>7</v>
      </c>
      <c r="W103" t="s">
        <v>350</v>
      </c>
      <c r="X103" t="s">
        <v>349</v>
      </c>
      <c r="Y103" t="s">
        <v>348</v>
      </c>
      <c r="Z103">
        <v>2017</v>
      </c>
      <c r="AB103">
        <v>13</v>
      </c>
      <c r="AC103">
        <v>8.5500000000000007</v>
      </c>
      <c r="AE103" t="s">
        <v>346</v>
      </c>
      <c r="AF103">
        <v>46.142674</v>
      </c>
      <c r="AG103">
        <v>-115.598088</v>
      </c>
      <c r="AH103">
        <v>14206937</v>
      </c>
    </row>
    <row r="104" spans="2:35">
      <c r="B104" t="s">
        <v>345</v>
      </c>
      <c r="C104" t="s">
        <v>632</v>
      </c>
      <c r="D104" s="3">
        <v>42867.279861111114</v>
      </c>
      <c r="F104">
        <v>2017</v>
      </c>
      <c r="G104" t="s">
        <v>636</v>
      </c>
      <c r="H104" t="s">
        <v>352</v>
      </c>
      <c r="J104">
        <v>0</v>
      </c>
      <c r="L104">
        <v>1</v>
      </c>
      <c r="M104">
        <v>45</v>
      </c>
      <c r="N104">
        <v>1</v>
      </c>
      <c r="O104" t="s">
        <v>353</v>
      </c>
      <c r="R104" t="s">
        <v>608</v>
      </c>
      <c r="U104">
        <v>7</v>
      </c>
      <c r="V104">
        <v>7</v>
      </c>
      <c r="W104" t="s">
        <v>350</v>
      </c>
      <c r="X104" t="s">
        <v>349</v>
      </c>
      <c r="Y104" t="s">
        <v>348</v>
      </c>
      <c r="Z104">
        <v>2017</v>
      </c>
      <c r="AB104">
        <v>13</v>
      </c>
      <c r="AC104">
        <v>8.5500000000000007</v>
      </c>
      <c r="AE104" t="s">
        <v>346</v>
      </c>
      <c r="AF104">
        <v>46.142674</v>
      </c>
      <c r="AG104">
        <v>-115.598088</v>
      </c>
      <c r="AH104">
        <v>14206938</v>
      </c>
    </row>
    <row r="105" spans="2:35">
      <c r="B105" t="s">
        <v>345</v>
      </c>
      <c r="C105" t="s">
        <v>632</v>
      </c>
      <c r="D105" s="3">
        <v>42867.279861111114</v>
      </c>
      <c r="F105">
        <v>2017</v>
      </c>
      <c r="G105" t="s">
        <v>578</v>
      </c>
      <c r="H105" t="s">
        <v>352</v>
      </c>
      <c r="J105">
        <v>0</v>
      </c>
      <c r="L105">
        <v>1</v>
      </c>
      <c r="M105">
        <v>152</v>
      </c>
      <c r="N105">
        <v>30</v>
      </c>
      <c r="O105" t="s">
        <v>575</v>
      </c>
      <c r="Q105" t="s">
        <v>637</v>
      </c>
      <c r="R105" t="s">
        <v>608</v>
      </c>
      <c r="U105">
        <v>7</v>
      </c>
      <c r="V105">
        <v>7</v>
      </c>
      <c r="W105" t="s">
        <v>350</v>
      </c>
      <c r="X105" t="s">
        <v>349</v>
      </c>
      <c r="Y105" t="s">
        <v>348</v>
      </c>
      <c r="Z105">
        <v>2017</v>
      </c>
      <c r="AB105">
        <v>13</v>
      </c>
      <c r="AC105">
        <v>8.5500000000000007</v>
      </c>
      <c r="AE105" t="s">
        <v>346</v>
      </c>
      <c r="AF105">
        <v>46.142674</v>
      </c>
      <c r="AG105">
        <v>-115.598088</v>
      </c>
      <c r="AH105">
        <v>14206939</v>
      </c>
      <c r="AI105">
        <f>17-76495</f>
        <v>-76478</v>
      </c>
    </row>
    <row r="106" spans="2:35">
      <c r="B106" t="s">
        <v>345</v>
      </c>
      <c r="C106" t="s">
        <v>632</v>
      </c>
      <c r="D106" s="3">
        <v>42867.279861111114</v>
      </c>
      <c r="F106">
        <v>2017</v>
      </c>
      <c r="G106" t="s">
        <v>578</v>
      </c>
      <c r="H106" t="s">
        <v>352</v>
      </c>
      <c r="J106">
        <v>0</v>
      </c>
      <c r="L106">
        <v>1</v>
      </c>
      <c r="M106">
        <v>161</v>
      </c>
      <c r="N106">
        <v>39</v>
      </c>
      <c r="O106" t="s">
        <v>575</v>
      </c>
      <c r="Q106" t="s">
        <v>638</v>
      </c>
      <c r="R106" t="s">
        <v>608</v>
      </c>
      <c r="U106">
        <v>7</v>
      </c>
      <c r="V106">
        <v>7</v>
      </c>
      <c r="W106" t="s">
        <v>350</v>
      </c>
      <c r="X106" t="s">
        <v>349</v>
      </c>
      <c r="Y106" t="s">
        <v>348</v>
      </c>
      <c r="Z106">
        <v>2017</v>
      </c>
      <c r="AB106">
        <v>13</v>
      </c>
      <c r="AC106">
        <v>8.5500000000000007</v>
      </c>
      <c r="AE106" t="s">
        <v>346</v>
      </c>
      <c r="AF106">
        <v>46.142674</v>
      </c>
      <c r="AG106">
        <v>-115.598088</v>
      </c>
      <c r="AH106">
        <v>14206940</v>
      </c>
      <c r="AI106">
        <f>17-76496</f>
        <v>-76479</v>
      </c>
    </row>
    <row r="107" spans="2:35">
      <c r="B107" t="s">
        <v>345</v>
      </c>
      <c r="C107" t="s">
        <v>632</v>
      </c>
      <c r="D107" s="3">
        <v>42867.279861111114</v>
      </c>
      <c r="F107">
        <v>2017</v>
      </c>
      <c r="G107" t="s">
        <v>578</v>
      </c>
      <c r="H107" t="s">
        <v>352</v>
      </c>
      <c r="J107">
        <v>0</v>
      </c>
      <c r="L107">
        <v>1</v>
      </c>
      <c r="M107">
        <v>154</v>
      </c>
      <c r="N107">
        <v>33</v>
      </c>
      <c r="O107" t="s">
        <v>575</v>
      </c>
      <c r="Q107" t="s">
        <v>639</v>
      </c>
      <c r="R107" t="s">
        <v>608</v>
      </c>
      <c r="U107">
        <v>7</v>
      </c>
      <c r="V107">
        <v>7</v>
      </c>
      <c r="W107" t="s">
        <v>350</v>
      </c>
      <c r="X107" t="s">
        <v>349</v>
      </c>
      <c r="Y107" t="s">
        <v>348</v>
      </c>
      <c r="Z107">
        <v>2017</v>
      </c>
      <c r="AB107">
        <v>13</v>
      </c>
      <c r="AC107">
        <v>8.5500000000000007</v>
      </c>
      <c r="AE107" t="s">
        <v>346</v>
      </c>
      <c r="AF107">
        <v>46.142674</v>
      </c>
      <c r="AG107">
        <v>-115.598088</v>
      </c>
      <c r="AH107">
        <v>14206941</v>
      </c>
      <c r="AI107">
        <f>17-76494</f>
        <v>-76477</v>
      </c>
    </row>
    <row r="108" spans="2:35">
      <c r="B108" t="s">
        <v>345</v>
      </c>
      <c r="C108" t="s">
        <v>640</v>
      </c>
      <c r="D108" s="3">
        <v>42993.486111111109</v>
      </c>
      <c r="F108">
        <v>2017</v>
      </c>
      <c r="G108" t="s">
        <v>605</v>
      </c>
      <c r="H108" t="s">
        <v>352</v>
      </c>
      <c r="J108">
        <v>0</v>
      </c>
      <c r="L108">
        <v>1</v>
      </c>
      <c r="M108">
        <v>30</v>
      </c>
      <c r="N108">
        <v>0</v>
      </c>
      <c r="O108" t="s">
        <v>353</v>
      </c>
      <c r="R108" t="s">
        <v>641</v>
      </c>
      <c r="U108">
        <v>15</v>
      </c>
      <c r="V108">
        <v>15</v>
      </c>
      <c r="W108" t="s">
        <v>350</v>
      </c>
      <c r="X108" t="s">
        <v>349</v>
      </c>
      <c r="Y108" t="s">
        <v>642</v>
      </c>
      <c r="Z108">
        <v>2017</v>
      </c>
      <c r="AB108">
        <v>4</v>
      </c>
      <c r="AC108">
        <v>1.72</v>
      </c>
      <c r="AE108" t="s">
        <v>346</v>
      </c>
      <c r="AF108">
        <v>46.142674</v>
      </c>
      <c r="AG108">
        <v>-115.598088</v>
      </c>
      <c r="AH108">
        <v>14253649</v>
      </c>
    </row>
    <row r="109" spans="2:35">
      <c r="B109" t="s">
        <v>345</v>
      </c>
      <c r="C109" t="s">
        <v>640</v>
      </c>
      <c r="D109" s="3">
        <v>42993.486111111109</v>
      </c>
      <c r="F109">
        <v>2017</v>
      </c>
      <c r="G109" t="s">
        <v>605</v>
      </c>
      <c r="H109" t="s">
        <v>352</v>
      </c>
      <c r="J109">
        <v>0</v>
      </c>
      <c r="L109">
        <v>1</v>
      </c>
      <c r="M109">
        <v>32</v>
      </c>
      <c r="N109">
        <v>0</v>
      </c>
      <c r="O109" t="s">
        <v>353</v>
      </c>
      <c r="R109" t="s">
        <v>641</v>
      </c>
      <c r="U109">
        <v>15</v>
      </c>
      <c r="V109">
        <v>15</v>
      </c>
      <c r="W109" t="s">
        <v>350</v>
      </c>
      <c r="X109" t="s">
        <v>349</v>
      </c>
      <c r="Y109" t="s">
        <v>642</v>
      </c>
      <c r="Z109">
        <v>2017</v>
      </c>
      <c r="AB109">
        <v>4</v>
      </c>
      <c r="AC109">
        <v>1.72</v>
      </c>
      <c r="AE109" t="s">
        <v>346</v>
      </c>
      <c r="AF109">
        <v>46.142674</v>
      </c>
      <c r="AG109">
        <v>-115.598088</v>
      </c>
      <c r="AH109">
        <v>14253650</v>
      </c>
    </row>
    <row r="110" spans="2:35">
      <c r="B110" t="s">
        <v>345</v>
      </c>
      <c r="C110" t="s">
        <v>640</v>
      </c>
      <c r="D110" s="3">
        <v>42993.486111111109</v>
      </c>
      <c r="F110">
        <v>2017</v>
      </c>
      <c r="G110" t="s">
        <v>602</v>
      </c>
      <c r="H110" t="s">
        <v>352</v>
      </c>
      <c r="J110">
        <v>0</v>
      </c>
      <c r="L110">
        <v>1</v>
      </c>
      <c r="M110">
        <v>187</v>
      </c>
      <c r="N110">
        <v>72</v>
      </c>
      <c r="O110" t="s">
        <v>353</v>
      </c>
      <c r="R110" t="s">
        <v>641</v>
      </c>
      <c r="U110">
        <v>15</v>
      </c>
      <c r="V110">
        <v>15</v>
      </c>
      <c r="W110" t="s">
        <v>350</v>
      </c>
      <c r="X110" t="s">
        <v>349</v>
      </c>
      <c r="Y110" t="s">
        <v>642</v>
      </c>
      <c r="Z110">
        <v>2017</v>
      </c>
      <c r="AB110">
        <v>4</v>
      </c>
      <c r="AC110">
        <v>1.72</v>
      </c>
      <c r="AE110" t="s">
        <v>346</v>
      </c>
      <c r="AF110">
        <v>46.142674</v>
      </c>
      <c r="AG110">
        <v>-115.598088</v>
      </c>
      <c r="AH110">
        <v>14253651</v>
      </c>
    </row>
    <row r="111" spans="2:35">
      <c r="B111" t="s">
        <v>345</v>
      </c>
      <c r="C111" t="s">
        <v>640</v>
      </c>
      <c r="D111" s="3">
        <v>42993.486111111109</v>
      </c>
      <c r="F111">
        <v>2017</v>
      </c>
      <c r="G111" t="s">
        <v>480</v>
      </c>
      <c r="H111" t="s">
        <v>352</v>
      </c>
      <c r="J111">
        <v>0</v>
      </c>
      <c r="L111">
        <v>1</v>
      </c>
      <c r="M111">
        <v>300</v>
      </c>
      <c r="N111">
        <v>275</v>
      </c>
      <c r="O111" t="s">
        <v>353</v>
      </c>
      <c r="R111" t="s">
        <v>641</v>
      </c>
      <c r="U111">
        <v>15</v>
      </c>
      <c r="V111">
        <v>15</v>
      </c>
      <c r="W111" t="s">
        <v>350</v>
      </c>
      <c r="X111" t="s">
        <v>349</v>
      </c>
      <c r="Y111" t="s">
        <v>642</v>
      </c>
      <c r="Z111">
        <v>2017</v>
      </c>
      <c r="AB111">
        <v>4</v>
      </c>
      <c r="AC111">
        <v>1.72</v>
      </c>
      <c r="AE111" t="s">
        <v>346</v>
      </c>
      <c r="AF111">
        <v>46.142674</v>
      </c>
      <c r="AG111">
        <v>-115.598088</v>
      </c>
      <c r="AH111">
        <v>14253652</v>
      </c>
    </row>
    <row r="112" spans="2:35">
      <c r="B112" t="s">
        <v>345</v>
      </c>
      <c r="C112" t="s">
        <v>640</v>
      </c>
      <c r="D112" s="3">
        <v>42993.486111111109</v>
      </c>
      <c r="F112">
        <v>2017</v>
      </c>
      <c r="G112" t="s">
        <v>605</v>
      </c>
      <c r="H112" t="s">
        <v>352</v>
      </c>
      <c r="J112">
        <v>0</v>
      </c>
      <c r="L112">
        <v>33</v>
      </c>
      <c r="M112">
        <v>0</v>
      </c>
      <c r="N112">
        <v>0</v>
      </c>
      <c r="O112" t="s">
        <v>643</v>
      </c>
      <c r="R112" t="s">
        <v>641</v>
      </c>
      <c r="U112">
        <v>15</v>
      </c>
      <c r="V112">
        <v>15</v>
      </c>
      <c r="W112" t="s">
        <v>350</v>
      </c>
      <c r="X112" t="s">
        <v>349</v>
      </c>
      <c r="Y112" t="s">
        <v>642</v>
      </c>
      <c r="Z112">
        <v>2017</v>
      </c>
      <c r="AB112">
        <v>4</v>
      </c>
      <c r="AC112">
        <v>1.72</v>
      </c>
      <c r="AE112" t="s">
        <v>346</v>
      </c>
      <c r="AF112">
        <v>46.142674</v>
      </c>
      <c r="AG112">
        <v>-115.598088</v>
      </c>
      <c r="AH112">
        <v>14253653</v>
      </c>
    </row>
    <row r="113" spans="2:35">
      <c r="B113" t="s">
        <v>345</v>
      </c>
      <c r="C113" t="s">
        <v>644</v>
      </c>
      <c r="D113" s="3">
        <v>43025.525694444441</v>
      </c>
      <c r="F113">
        <v>2017</v>
      </c>
      <c r="G113" t="s">
        <v>482</v>
      </c>
      <c r="H113" t="s">
        <v>352</v>
      </c>
      <c r="J113">
        <v>0</v>
      </c>
      <c r="L113">
        <v>1</v>
      </c>
      <c r="M113">
        <v>0</v>
      </c>
      <c r="N113">
        <v>0</v>
      </c>
      <c r="O113" t="s">
        <v>643</v>
      </c>
      <c r="U113">
        <v>8</v>
      </c>
      <c r="V113">
        <v>8</v>
      </c>
      <c r="W113" t="s">
        <v>350</v>
      </c>
      <c r="X113" t="s">
        <v>349</v>
      </c>
      <c r="Y113" t="s">
        <v>645</v>
      </c>
      <c r="Z113">
        <v>2017</v>
      </c>
      <c r="AB113">
        <v>4</v>
      </c>
      <c r="AC113">
        <v>1.97</v>
      </c>
      <c r="AE113" t="s">
        <v>346</v>
      </c>
      <c r="AF113">
        <v>46.142674</v>
      </c>
      <c r="AG113">
        <v>-115.598088</v>
      </c>
      <c r="AH113">
        <v>14218213</v>
      </c>
    </row>
    <row r="114" spans="2:35">
      <c r="B114" t="s">
        <v>345</v>
      </c>
      <c r="C114" t="s">
        <v>644</v>
      </c>
      <c r="D114" s="3">
        <v>43025.525694444441</v>
      </c>
      <c r="F114">
        <v>2017</v>
      </c>
      <c r="G114" t="s">
        <v>574</v>
      </c>
      <c r="H114" t="s">
        <v>352</v>
      </c>
      <c r="J114">
        <v>0</v>
      </c>
      <c r="L114">
        <v>1</v>
      </c>
      <c r="M114">
        <v>77</v>
      </c>
      <c r="N114">
        <v>0</v>
      </c>
      <c r="O114" t="s">
        <v>575</v>
      </c>
      <c r="Q114" t="s">
        <v>576</v>
      </c>
      <c r="U114">
        <v>8</v>
      </c>
      <c r="V114">
        <v>8</v>
      </c>
      <c r="W114" t="s">
        <v>350</v>
      </c>
      <c r="X114" t="s">
        <v>349</v>
      </c>
      <c r="Y114" t="s">
        <v>645</v>
      </c>
      <c r="Z114">
        <v>2017</v>
      </c>
      <c r="AB114">
        <v>4</v>
      </c>
      <c r="AC114">
        <v>1.97</v>
      </c>
      <c r="AE114" t="s">
        <v>346</v>
      </c>
      <c r="AF114">
        <v>46.142674</v>
      </c>
      <c r="AG114">
        <v>-115.598088</v>
      </c>
      <c r="AH114">
        <v>14218214</v>
      </c>
    </row>
    <row r="115" spans="2:35">
      <c r="B115" t="s">
        <v>345</v>
      </c>
      <c r="C115" t="s">
        <v>646</v>
      </c>
      <c r="D115" s="3">
        <v>42968.368055555555</v>
      </c>
      <c r="F115">
        <v>2017</v>
      </c>
      <c r="G115" t="s">
        <v>605</v>
      </c>
      <c r="H115" t="s">
        <v>352</v>
      </c>
      <c r="J115">
        <v>0</v>
      </c>
      <c r="L115">
        <v>20</v>
      </c>
      <c r="M115">
        <v>0</v>
      </c>
      <c r="N115">
        <v>0</v>
      </c>
      <c r="O115" t="s">
        <v>606</v>
      </c>
      <c r="R115" t="s">
        <v>647</v>
      </c>
      <c r="U115">
        <v>25</v>
      </c>
      <c r="V115">
        <v>25</v>
      </c>
      <c r="W115" t="s">
        <v>350</v>
      </c>
      <c r="X115" t="s">
        <v>349</v>
      </c>
      <c r="Y115" t="s">
        <v>642</v>
      </c>
      <c r="Z115">
        <v>2017</v>
      </c>
      <c r="AB115">
        <v>6</v>
      </c>
      <c r="AC115">
        <v>1.91</v>
      </c>
      <c r="AE115" t="s">
        <v>346</v>
      </c>
      <c r="AF115">
        <v>46.142674</v>
      </c>
      <c r="AG115">
        <v>-115.598088</v>
      </c>
      <c r="AH115">
        <v>14269753</v>
      </c>
    </row>
    <row r="116" spans="2:35">
      <c r="B116" t="s">
        <v>345</v>
      </c>
      <c r="C116" t="s">
        <v>646</v>
      </c>
      <c r="D116" s="3">
        <v>42968.368055555555</v>
      </c>
      <c r="F116">
        <v>2017</v>
      </c>
      <c r="G116" t="s">
        <v>480</v>
      </c>
      <c r="H116" t="s">
        <v>352</v>
      </c>
      <c r="J116">
        <v>0</v>
      </c>
      <c r="L116">
        <v>1</v>
      </c>
      <c r="M116">
        <v>0</v>
      </c>
      <c r="N116">
        <v>0</v>
      </c>
      <c r="O116" t="s">
        <v>643</v>
      </c>
      <c r="R116" t="s">
        <v>647</v>
      </c>
      <c r="U116">
        <v>25</v>
      </c>
      <c r="V116">
        <v>25</v>
      </c>
      <c r="W116" t="s">
        <v>350</v>
      </c>
      <c r="X116" t="s">
        <v>349</v>
      </c>
      <c r="Y116" t="s">
        <v>642</v>
      </c>
      <c r="Z116">
        <v>2017</v>
      </c>
      <c r="AB116">
        <v>6</v>
      </c>
      <c r="AC116">
        <v>1.91</v>
      </c>
      <c r="AE116" t="s">
        <v>346</v>
      </c>
      <c r="AF116">
        <v>46.142674</v>
      </c>
      <c r="AG116">
        <v>-115.598088</v>
      </c>
      <c r="AH116">
        <v>14269754</v>
      </c>
    </row>
    <row r="117" spans="2:35">
      <c r="B117" t="s">
        <v>345</v>
      </c>
      <c r="C117" t="s">
        <v>648</v>
      </c>
      <c r="D117" s="3">
        <v>42852.322916666664</v>
      </c>
      <c r="F117">
        <v>2017</v>
      </c>
      <c r="G117" t="s">
        <v>578</v>
      </c>
      <c r="H117" t="s">
        <v>352</v>
      </c>
      <c r="J117">
        <v>0</v>
      </c>
      <c r="L117">
        <v>1</v>
      </c>
      <c r="M117">
        <v>176</v>
      </c>
      <c r="N117">
        <v>50</v>
      </c>
      <c r="O117" t="s">
        <v>575</v>
      </c>
      <c r="Q117" t="s">
        <v>649</v>
      </c>
      <c r="R117" t="s">
        <v>608</v>
      </c>
      <c r="U117">
        <v>5.5</v>
      </c>
      <c r="V117">
        <v>6</v>
      </c>
      <c r="W117" t="s">
        <v>350</v>
      </c>
      <c r="X117" t="s">
        <v>349</v>
      </c>
      <c r="Y117" t="s">
        <v>348</v>
      </c>
      <c r="Z117">
        <v>2017</v>
      </c>
      <c r="AB117">
        <v>12</v>
      </c>
      <c r="AC117">
        <v>6.01</v>
      </c>
      <c r="AE117" t="s">
        <v>346</v>
      </c>
      <c r="AF117">
        <v>46.142674</v>
      </c>
      <c r="AG117">
        <v>-115.598088</v>
      </c>
      <c r="AH117">
        <v>14269928</v>
      </c>
      <c r="AI117">
        <f>17-68319</f>
        <v>-68302</v>
      </c>
    </row>
    <row r="118" spans="2:35">
      <c r="B118" t="s">
        <v>345</v>
      </c>
      <c r="C118" t="s">
        <v>648</v>
      </c>
      <c r="D118" s="3">
        <v>42852.322916666664</v>
      </c>
      <c r="F118">
        <v>2017</v>
      </c>
      <c r="G118" t="s">
        <v>578</v>
      </c>
      <c r="H118" t="s">
        <v>352</v>
      </c>
      <c r="J118">
        <v>0</v>
      </c>
      <c r="L118">
        <v>1</v>
      </c>
      <c r="M118">
        <v>162</v>
      </c>
      <c r="N118">
        <v>36</v>
      </c>
      <c r="O118" t="s">
        <v>575</v>
      </c>
      <c r="Q118" t="s">
        <v>650</v>
      </c>
      <c r="R118" t="s">
        <v>608</v>
      </c>
      <c r="U118">
        <v>5.5</v>
      </c>
      <c r="V118">
        <v>6</v>
      </c>
      <c r="W118" t="s">
        <v>350</v>
      </c>
      <c r="X118" t="s">
        <v>349</v>
      </c>
      <c r="Y118" t="s">
        <v>348</v>
      </c>
      <c r="Z118">
        <v>2017</v>
      </c>
      <c r="AB118">
        <v>12</v>
      </c>
      <c r="AC118">
        <v>6.01</v>
      </c>
      <c r="AE118" t="s">
        <v>346</v>
      </c>
      <c r="AF118">
        <v>46.142674</v>
      </c>
      <c r="AG118">
        <v>-115.598088</v>
      </c>
      <c r="AH118">
        <v>14269929</v>
      </c>
      <c r="AI118">
        <f>17-68318</f>
        <v>-68301</v>
      </c>
    </row>
    <row r="119" spans="2:35">
      <c r="B119" t="s">
        <v>345</v>
      </c>
      <c r="C119" t="s">
        <v>648</v>
      </c>
      <c r="D119" s="3">
        <v>42852.322916666664</v>
      </c>
      <c r="F119">
        <v>2017</v>
      </c>
      <c r="G119" t="s">
        <v>578</v>
      </c>
      <c r="H119" t="s">
        <v>352</v>
      </c>
      <c r="J119">
        <v>0</v>
      </c>
      <c r="L119">
        <v>1</v>
      </c>
      <c r="M119">
        <v>157</v>
      </c>
      <c r="N119">
        <v>36</v>
      </c>
      <c r="O119" t="s">
        <v>575</v>
      </c>
      <c r="Q119" t="s">
        <v>651</v>
      </c>
      <c r="R119" t="s">
        <v>608</v>
      </c>
      <c r="U119">
        <v>5.5</v>
      </c>
      <c r="V119">
        <v>6</v>
      </c>
      <c r="W119" t="s">
        <v>350</v>
      </c>
      <c r="X119" t="s">
        <v>349</v>
      </c>
      <c r="Y119" t="s">
        <v>348</v>
      </c>
      <c r="Z119">
        <v>2017</v>
      </c>
      <c r="AB119">
        <v>12</v>
      </c>
      <c r="AC119">
        <v>6.01</v>
      </c>
      <c r="AE119" t="s">
        <v>346</v>
      </c>
      <c r="AF119">
        <v>46.142674</v>
      </c>
      <c r="AG119">
        <v>-115.598088</v>
      </c>
      <c r="AH119">
        <v>14269930</v>
      </c>
      <c r="AI119">
        <f>17-68322</f>
        <v>-68305</v>
      </c>
    </row>
    <row r="120" spans="2:35">
      <c r="B120" t="s">
        <v>345</v>
      </c>
      <c r="C120" t="s">
        <v>648</v>
      </c>
      <c r="D120" s="3">
        <v>42852.322916666664</v>
      </c>
      <c r="F120">
        <v>2017</v>
      </c>
      <c r="G120" t="s">
        <v>578</v>
      </c>
      <c r="H120" t="s">
        <v>352</v>
      </c>
      <c r="J120">
        <v>0</v>
      </c>
      <c r="L120">
        <v>1</v>
      </c>
      <c r="M120">
        <v>152</v>
      </c>
      <c r="N120">
        <v>32</v>
      </c>
      <c r="O120" t="s">
        <v>575</v>
      </c>
      <c r="Q120" t="s">
        <v>652</v>
      </c>
      <c r="R120" t="s">
        <v>608</v>
      </c>
      <c r="U120">
        <v>5.5</v>
      </c>
      <c r="V120">
        <v>6</v>
      </c>
      <c r="W120" t="s">
        <v>350</v>
      </c>
      <c r="X120" t="s">
        <v>349</v>
      </c>
      <c r="Y120" t="s">
        <v>348</v>
      </c>
      <c r="Z120">
        <v>2017</v>
      </c>
      <c r="AB120">
        <v>12</v>
      </c>
      <c r="AC120">
        <v>6.01</v>
      </c>
      <c r="AE120" t="s">
        <v>346</v>
      </c>
      <c r="AF120">
        <v>46.142674</v>
      </c>
      <c r="AG120">
        <v>-115.598088</v>
      </c>
      <c r="AH120">
        <v>14269931</v>
      </c>
      <c r="AI120">
        <f>17-68316</f>
        <v>-68299</v>
      </c>
    </row>
    <row r="121" spans="2:35">
      <c r="B121" t="s">
        <v>345</v>
      </c>
      <c r="C121" t="s">
        <v>648</v>
      </c>
      <c r="D121" s="3">
        <v>42852.322916666664</v>
      </c>
      <c r="F121">
        <v>2017</v>
      </c>
      <c r="G121" t="s">
        <v>578</v>
      </c>
      <c r="H121" t="s">
        <v>352</v>
      </c>
      <c r="J121">
        <v>0</v>
      </c>
      <c r="L121">
        <v>1</v>
      </c>
      <c r="M121">
        <v>191</v>
      </c>
      <c r="N121">
        <v>54</v>
      </c>
      <c r="O121" t="s">
        <v>575</v>
      </c>
      <c r="Q121" t="s">
        <v>653</v>
      </c>
      <c r="R121" t="s">
        <v>608</v>
      </c>
      <c r="U121">
        <v>5.5</v>
      </c>
      <c r="V121">
        <v>6</v>
      </c>
      <c r="W121" t="s">
        <v>350</v>
      </c>
      <c r="X121" t="s">
        <v>349</v>
      </c>
      <c r="Y121" t="s">
        <v>348</v>
      </c>
      <c r="Z121">
        <v>2017</v>
      </c>
      <c r="AB121">
        <v>12</v>
      </c>
      <c r="AC121">
        <v>6.01</v>
      </c>
      <c r="AE121" t="s">
        <v>346</v>
      </c>
      <c r="AF121">
        <v>46.142674</v>
      </c>
      <c r="AG121">
        <v>-115.598088</v>
      </c>
      <c r="AH121">
        <v>14269932</v>
      </c>
      <c r="AI121">
        <f>17-68317</f>
        <v>-68300</v>
      </c>
    </row>
    <row r="122" spans="2:35">
      <c r="B122" t="s">
        <v>345</v>
      </c>
      <c r="C122" t="s">
        <v>648</v>
      </c>
      <c r="D122" s="3">
        <v>42852.322916666664</v>
      </c>
      <c r="F122">
        <v>2017</v>
      </c>
      <c r="G122" t="s">
        <v>578</v>
      </c>
      <c r="H122" t="s">
        <v>352</v>
      </c>
      <c r="J122">
        <v>0</v>
      </c>
      <c r="L122">
        <v>1</v>
      </c>
      <c r="M122">
        <v>162</v>
      </c>
      <c r="N122">
        <v>37</v>
      </c>
      <c r="O122" t="s">
        <v>575</v>
      </c>
      <c r="Q122" t="s">
        <v>654</v>
      </c>
      <c r="R122" t="s">
        <v>608</v>
      </c>
      <c r="U122">
        <v>5.5</v>
      </c>
      <c r="V122">
        <v>6</v>
      </c>
      <c r="W122" t="s">
        <v>350</v>
      </c>
      <c r="X122" t="s">
        <v>349</v>
      </c>
      <c r="Y122" t="s">
        <v>348</v>
      </c>
      <c r="Z122">
        <v>2017</v>
      </c>
      <c r="AB122">
        <v>12</v>
      </c>
      <c r="AC122">
        <v>6.01</v>
      </c>
      <c r="AE122" t="s">
        <v>346</v>
      </c>
      <c r="AF122">
        <v>46.142674</v>
      </c>
      <c r="AG122">
        <v>-115.598088</v>
      </c>
      <c r="AH122">
        <v>14269933</v>
      </c>
      <c r="AI122">
        <f>17-68320</f>
        <v>-68303</v>
      </c>
    </row>
    <row r="123" spans="2:35">
      <c r="B123" t="s">
        <v>345</v>
      </c>
      <c r="C123" t="s">
        <v>648</v>
      </c>
      <c r="D123" s="3">
        <v>42852.322916666664</v>
      </c>
      <c r="F123">
        <v>2017</v>
      </c>
      <c r="G123" t="s">
        <v>574</v>
      </c>
      <c r="H123" t="s">
        <v>352</v>
      </c>
      <c r="J123">
        <v>0</v>
      </c>
      <c r="L123">
        <v>1</v>
      </c>
      <c r="M123">
        <v>89</v>
      </c>
      <c r="N123">
        <v>7</v>
      </c>
      <c r="O123" t="s">
        <v>575</v>
      </c>
      <c r="Q123" t="s">
        <v>576</v>
      </c>
      <c r="R123" t="s">
        <v>608</v>
      </c>
      <c r="U123">
        <v>5.5</v>
      </c>
      <c r="V123">
        <v>6</v>
      </c>
      <c r="W123" t="s">
        <v>350</v>
      </c>
      <c r="X123" t="s">
        <v>349</v>
      </c>
      <c r="Y123" t="s">
        <v>348</v>
      </c>
      <c r="Z123">
        <v>2017</v>
      </c>
      <c r="AB123">
        <v>12</v>
      </c>
      <c r="AC123">
        <v>6.01</v>
      </c>
      <c r="AE123" t="s">
        <v>346</v>
      </c>
      <c r="AF123">
        <v>46.142674</v>
      </c>
      <c r="AG123">
        <v>-115.598088</v>
      </c>
      <c r="AH123">
        <v>14269934</v>
      </c>
    </row>
    <row r="124" spans="2:35">
      <c r="B124" t="s">
        <v>345</v>
      </c>
      <c r="C124" t="s">
        <v>648</v>
      </c>
      <c r="D124" s="3">
        <v>42852.322916666664</v>
      </c>
      <c r="F124">
        <v>2017</v>
      </c>
      <c r="G124" t="s">
        <v>578</v>
      </c>
      <c r="H124" t="s">
        <v>352</v>
      </c>
      <c r="J124">
        <v>0</v>
      </c>
      <c r="L124">
        <v>1</v>
      </c>
      <c r="M124">
        <v>164</v>
      </c>
      <c r="N124">
        <v>40</v>
      </c>
      <c r="O124" t="s">
        <v>575</v>
      </c>
      <c r="Q124" t="s">
        <v>655</v>
      </c>
      <c r="R124" t="s">
        <v>608</v>
      </c>
      <c r="U124">
        <v>5.5</v>
      </c>
      <c r="V124">
        <v>6</v>
      </c>
      <c r="W124" t="s">
        <v>350</v>
      </c>
      <c r="X124" t="s">
        <v>349</v>
      </c>
      <c r="Y124" t="s">
        <v>348</v>
      </c>
      <c r="Z124">
        <v>2017</v>
      </c>
      <c r="AB124">
        <v>12</v>
      </c>
      <c r="AC124">
        <v>6.01</v>
      </c>
      <c r="AE124" t="s">
        <v>346</v>
      </c>
      <c r="AF124">
        <v>46.142674</v>
      </c>
      <c r="AG124">
        <v>-115.598088</v>
      </c>
      <c r="AH124">
        <v>14269935</v>
      </c>
      <c r="AI124">
        <f>17-68323</f>
        <v>-68306</v>
      </c>
    </row>
    <row r="125" spans="2:35">
      <c r="B125" t="s">
        <v>345</v>
      </c>
      <c r="C125" t="s">
        <v>648</v>
      </c>
      <c r="D125" s="3">
        <v>42852.322916666664</v>
      </c>
      <c r="F125">
        <v>2017</v>
      </c>
      <c r="G125" t="s">
        <v>578</v>
      </c>
      <c r="H125" t="s">
        <v>352</v>
      </c>
      <c r="J125">
        <v>0</v>
      </c>
      <c r="L125">
        <v>1</v>
      </c>
      <c r="M125">
        <v>168</v>
      </c>
      <c r="N125">
        <v>42</v>
      </c>
      <c r="O125" t="s">
        <v>575</v>
      </c>
      <c r="Q125" t="s">
        <v>656</v>
      </c>
      <c r="R125" t="s">
        <v>608</v>
      </c>
      <c r="U125">
        <v>5.5</v>
      </c>
      <c r="V125">
        <v>6</v>
      </c>
      <c r="W125" t="s">
        <v>350</v>
      </c>
      <c r="X125" t="s">
        <v>349</v>
      </c>
      <c r="Y125" t="s">
        <v>348</v>
      </c>
      <c r="Z125">
        <v>2017</v>
      </c>
      <c r="AB125">
        <v>12</v>
      </c>
      <c r="AC125">
        <v>6.01</v>
      </c>
      <c r="AE125" t="s">
        <v>346</v>
      </c>
      <c r="AF125">
        <v>46.142674</v>
      </c>
      <c r="AG125">
        <v>-115.598088</v>
      </c>
      <c r="AH125">
        <v>14269936</v>
      </c>
      <c r="AI125">
        <f>17-68328</f>
        <v>-68311</v>
      </c>
    </row>
    <row r="126" spans="2:35">
      <c r="B126" t="s">
        <v>345</v>
      </c>
      <c r="C126" t="s">
        <v>648</v>
      </c>
      <c r="D126" s="3">
        <v>42852.322916666664</v>
      </c>
      <c r="F126">
        <v>2017</v>
      </c>
      <c r="G126" t="s">
        <v>578</v>
      </c>
      <c r="H126" t="s">
        <v>352</v>
      </c>
      <c r="J126">
        <v>0</v>
      </c>
      <c r="L126">
        <v>1</v>
      </c>
      <c r="M126">
        <v>161</v>
      </c>
      <c r="N126">
        <v>39</v>
      </c>
      <c r="O126" t="s">
        <v>575</v>
      </c>
      <c r="Q126" t="s">
        <v>657</v>
      </c>
      <c r="R126" t="s">
        <v>608</v>
      </c>
      <c r="U126">
        <v>5.5</v>
      </c>
      <c r="V126">
        <v>6</v>
      </c>
      <c r="W126" t="s">
        <v>350</v>
      </c>
      <c r="X126" t="s">
        <v>349</v>
      </c>
      <c r="Y126" t="s">
        <v>348</v>
      </c>
      <c r="Z126">
        <v>2017</v>
      </c>
      <c r="AB126">
        <v>12</v>
      </c>
      <c r="AC126">
        <v>6.01</v>
      </c>
      <c r="AE126" t="s">
        <v>346</v>
      </c>
      <c r="AF126">
        <v>46.142674</v>
      </c>
      <c r="AG126">
        <v>-115.598088</v>
      </c>
      <c r="AH126">
        <v>14269937</v>
      </c>
      <c r="AI126">
        <f>17-68325</f>
        <v>-68308</v>
      </c>
    </row>
    <row r="127" spans="2:35">
      <c r="B127" t="s">
        <v>345</v>
      </c>
      <c r="C127" t="s">
        <v>648</v>
      </c>
      <c r="D127" s="3">
        <v>42852.322916666664</v>
      </c>
      <c r="F127">
        <v>2017</v>
      </c>
      <c r="G127" t="s">
        <v>578</v>
      </c>
      <c r="H127" t="s">
        <v>352</v>
      </c>
      <c r="J127">
        <v>0</v>
      </c>
      <c r="L127">
        <v>1</v>
      </c>
      <c r="M127">
        <v>176</v>
      </c>
      <c r="N127">
        <v>48</v>
      </c>
      <c r="O127" t="s">
        <v>575</v>
      </c>
      <c r="Q127" t="s">
        <v>658</v>
      </c>
      <c r="R127" t="s">
        <v>608</v>
      </c>
      <c r="U127">
        <v>5.5</v>
      </c>
      <c r="V127">
        <v>6</v>
      </c>
      <c r="W127" t="s">
        <v>350</v>
      </c>
      <c r="X127" t="s">
        <v>349</v>
      </c>
      <c r="Y127" t="s">
        <v>348</v>
      </c>
      <c r="Z127">
        <v>2017</v>
      </c>
      <c r="AB127">
        <v>12</v>
      </c>
      <c r="AC127">
        <v>6.01</v>
      </c>
      <c r="AE127" t="s">
        <v>346</v>
      </c>
      <c r="AF127">
        <v>46.142674</v>
      </c>
      <c r="AG127">
        <v>-115.598088</v>
      </c>
      <c r="AH127">
        <v>14269938</v>
      </c>
      <c r="AI127">
        <f>17-68326</f>
        <v>-68309</v>
      </c>
    </row>
    <row r="128" spans="2:35">
      <c r="B128" t="s">
        <v>345</v>
      </c>
      <c r="C128" t="s">
        <v>648</v>
      </c>
      <c r="D128" s="3">
        <v>42852.322916666664</v>
      </c>
      <c r="F128">
        <v>2017</v>
      </c>
      <c r="G128" t="s">
        <v>578</v>
      </c>
      <c r="H128" t="s">
        <v>352</v>
      </c>
      <c r="J128">
        <v>0</v>
      </c>
      <c r="L128">
        <v>1</v>
      </c>
      <c r="M128">
        <v>150</v>
      </c>
      <c r="N128">
        <v>30</v>
      </c>
      <c r="O128" t="s">
        <v>575</v>
      </c>
      <c r="Q128" t="s">
        <v>659</v>
      </c>
      <c r="R128" t="s">
        <v>608</v>
      </c>
      <c r="U128">
        <v>5.5</v>
      </c>
      <c r="V128">
        <v>6</v>
      </c>
      <c r="W128" t="s">
        <v>350</v>
      </c>
      <c r="X128" t="s">
        <v>349</v>
      </c>
      <c r="Y128" t="s">
        <v>348</v>
      </c>
      <c r="Z128">
        <v>2017</v>
      </c>
      <c r="AB128">
        <v>12</v>
      </c>
      <c r="AC128">
        <v>6.01</v>
      </c>
      <c r="AE128" t="s">
        <v>346</v>
      </c>
      <c r="AF128">
        <v>46.142674</v>
      </c>
      <c r="AG128">
        <v>-115.598088</v>
      </c>
      <c r="AH128">
        <v>14269939</v>
      </c>
      <c r="AI128">
        <f>17-68321</f>
        <v>-68304</v>
      </c>
    </row>
    <row r="129" spans="2:35">
      <c r="B129" t="s">
        <v>345</v>
      </c>
      <c r="C129" t="s">
        <v>648</v>
      </c>
      <c r="D129" s="3">
        <v>42852.322916666664</v>
      </c>
      <c r="F129">
        <v>2017</v>
      </c>
      <c r="G129" t="s">
        <v>578</v>
      </c>
      <c r="H129" t="s">
        <v>352</v>
      </c>
      <c r="J129">
        <v>0</v>
      </c>
      <c r="L129">
        <v>1</v>
      </c>
      <c r="M129">
        <v>171</v>
      </c>
      <c r="N129">
        <v>43</v>
      </c>
      <c r="O129" t="s">
        <v>575</v>
      </c>
      <c r="Q129" t="s">
        <v>660</v>
      </c>
      <c r="R129" t="s">
        <v>608</v>
      </c>
      <c r="U129">
        <v>5.5</v>
      </c>
      <c r="V129">
        <v>6</v>
      </c>
      <c r="W129" t="s">
        <v>350</v>
      </c>
      <c r="X129" t="s">
        <v>349</v>
      </c>
      <c r="Y129" t="s">
        <v>348</v>
      </c>
      <c r="Z129">
        <v>2017</v>
      </c>
      <c r="AB129">
        <v>12</v>
      </c>
      <c r="AC129">
        <v>6.01</v>
      </c>
      <c r="AE129" t="s">
        <v>346</v>
      </c>
      <c r="AF129">
        <v>46.142674</v>
      </c>
      <c r="AG129">
        <v>-115.598088</v>
      </c>
      <c r="AH129">
        <v>14269940</v>
      </c>
      <c r="AI129">
        <f>17-68329</f>
        <v>-68312</v>
      </c>
    </row>
    <row r="130" spans="2:35">
      <c r="B130" t="s">
        <v>345</v>
      </c>
      <c r="C130" t="s">
        <v>648</v>
      </c>
      <c r="D130" s="3">
        <v>42852.322916666664</v>
      </c>
      <c r="F130">
        <v>2017</v>
      </c>
      <c r="G130" t="s">
        <v>578</v>
      </c>
      <c r="H130" t="s">
        <v>352</v>
      </c>
      <c r="J130">
        <v>0</v>
      </c>
      <c r="L130">
        <v>1</v>
      </c>
      <c r="M130">
        <v>159</v>
      </c>
      <c r="N130">
        <v>38</v>
      </c>
      <c r="O130" t="s">
        <v>575</v>
      </c>
      <c r="Q130" t="s">
        <v>661</v>
      </c>
      <c r="R130" t="s">
        <v>608</v>
      </c>
      <c r="U130">
        <v>5.5</v>
      </c>
      <c r="V130">
        <v>6</v>
      </c>
      <c r="W130" t="s">
        <v>350</v>
      </c>
      <c r="X130" t="s">
        <v>349</v>
      </c>
      <c r="Y130" t="s">
        <v>348</v>
      </c>
      <c r="Z130">
        <v>2017</v>
      </c>
      <c r="AB130">
        <v>12</v>
      </c>
      <c r="AC130">
        <v>6.01</v>
      </c>
      <c r="AE130" t="s">
        <v>346</v>
      </c>
      <c r="AF130">
        <v>46.142674</v>
      </c>
      <c r="AG130">
        <v>-115.598088</v>
      </c>
      <c r="AH130">
        <v>14269941</v>
      </c>
      <c r="AI130">
        <f>17-68315</f>
        <v>-68298</v>
      </c>
    </row>
    <row r="131" spans="2:35">
      <c r="B131" t="s">
        <v>345</v>
      </c>
      <c r="C131" t="s">
        <v>648</v>
      </c>
      <c r="D131" s="3">
        <v>42852.322916666664</v>
      </c>
      <c r="F131">
        <v>2017</v>
      </c>
      <c r="G131" t="s">
        <v>578</v>
      </c>
      <c r="H131" t="s">
        <v>352</v>
      </c>
      <c r="J131">
        <v>0</v>
      </c>
      <c r="L131">
        <v>1</v>
      </c>
      <c r="M131">
        <v>181</v>
      </c>
      <c r="N131">
        <v>51</v>
      </c>
      <c r="O131" t="s">
        <v>575</v>
      </c>
      <c r="Q131" t="s">
        <v>662</v>
      </c>
      <c r="R131" t="s">
        <v>608</v>
      </c>
      <c r="U131">
        <v>5.5</v>
      </c>
      <c r="V131">
        <v>6</v>
      </c>
      <c r="W131" t="s">
        <v>350</v>
      </c>
      <c r="X131" t="s">
        <v>349</v>
      </c>
      <c r="Y131" t="s">
        <v>348</v>
      </c>
      <c r="Z131">
        <v>2017</v>
      </c>
      <c r="AB131">
        <v>12</v>
      </c>
      <c r="AC131">
        <v>6.01</v>
      </c>
      <c r="AE131" t="s">
        <v>346</v>
      </c>
      <c r="AF131">
        <v>46.142674</v>
      </c>
      <c r="AG131">
        <v>-115.598088</v>
      </c>
      <c r="AH131">
        <v>14269942</v>
      </c>
      <c r="AI131">
        <f>17-68324</f>
        <v>-68307</v>
      </c>
    </row>
    <row r="132" spans="2:35">
      <c r="B132" t="s">
        <v>345</v>
      </c>
      <c r="C132" t="s">
        <v>648</v>
      </c>
      <c r="D132" s="3">
        <v>42852.322916666664</v>
      </c>
      <c r="F132">
        <v>2017</v>
      </c>
      <c r="G132" t="s">
        <v>578</v>
      </c>
      <c r="H132" t="s">
        <v>352</v>
      </c>
      <c r="J132">
        <v>0</v>
      </c>
      <c r="L132">
        <v>1</v>
      </c>
      <c r="M132">
        <v>165</v>
      </c>
      <c r="N132">
        <v>41</v>
      </c>
      <c r="O132" t="s">
        <v>575</v>
      </c>
      <c r="Q132" t="s">
        <v>663</v>
      </c>
      <c r="R132" t="s">
        <v>608</v>
      </c>
      <c r="U132">
        <v>5.5</v>
      </c>
      <c r="V132">
        <v>6</v>
      </c>
      <c r="W132" t="s">
        <v>350</v>
      </c>
      <c r="X132" t="s">
        <v>349</v>
      </c>
      <c r="Y132" t="s">
        <v>348</v>
      </c>
      <c r="Z132">
        <v>2017</v>
      </c>
      <c r="AB132">
        <v>12</v>
      </c>
      <c r="AC132">
        <v>6.01</v>
      </c>
      <c r="AE132" t="s">
        <v>346</v>
      </c>
      <c r="AF132">
        <v>46.142674</v>
      </c>
      <c r="AG132">
        <v>-115.598088</v>
      </c>
      <c r="AH132">
        <v>14269943</v>
      </c>
      <c r="AI132">
        <f>17-68314</f>
        <v>-68297</v>
      </c>
    </row>
    <row r="133" spans="2:35">
      <c r="B133" t="s">
        <v>345</v>
      </c>
      <c r="C133" t="s">
        <v>648</v>
      </c>
      <c r="D133" s="3">
        <v>42852.322916666664</v>
      </c>
      <c r="F133">
        <v>2017</v>
      </c>
      <c r="G133" t="s">
        <v>578</v>
      </c>
      <c r="H133" t="s">
        <v>352</v>
      </c>
      <c r="J133">
        <v>0</v>
      </c>
      <c r="L133">
        <v>1</v>
      </c>
      <c r="M133">
        <v>166</v>
      </c>
      <c r="N133">
        <v>42</v>
      </c>
      <c r="O133" t="s">
        <v>575</v>
      </c>
      <c r="Q133" t="s">
        <v>664</v>
      </c>
      <c r="R133" t="s">
        <v>608</v>
      </c>
      <c r="U133">
        <v>5.5</v>
      </c>
      <c r="V133">
        <v>6</v>
      </c>
      <c r="W133" t="s">
        <v>350</v>
      </c>
      <c r="X133" t="s">
        <v>349</v>
      </c>
      <c r="Y133" t="s">
        <v>348</v>
      </c>
      <c r="Z133">
        <v>2017</v>
      </c>
      <c r="AB133">
        <v>12</v>
      </c>
      <c r="AC133">
        <v>6.01</v>
      </c>
      <c r="AE133" t="s">
        <v>346</v>
      </c>
      <c r="AF133">
        <v>46.142674</v>
      </c>
      <c r="AG133">
        <v>-115.598088</v>
      </c>
      <c r="AH133">
        <v>14269944</v>
      </c>
      <c r="AI133">
        <f>17-68330</f>
        <v>-68313</v>
      </c>
    </row>
    <row r="134" spans="2:35">
      <c r="B134" t="s">
        <v>345</v>
      </c>
      <c r="C134" t="s">
        <v>648</v>
      </c>
      <c r="D134" s="3">
        <v>42852.322916666664</v>
      </c>
      <c r="F134">
        <v>2017</v>
      </c>
      <c r="G134" t="s">
        <v>578</v>
      </c>
      <c r="H134" t="s">
        <v>352</v>
      </c>
      <c r="J134">
        <v>0</v>
      </c>
      <c r="L134">
        <v>1</v>
      </c>
      <c r="M134">
        <v>157</v>
      </c>
      <c r="N134">
        <v>33</v>
      </c>
      <c r="O134" t="s">
        <v>575</v>
      </c>
      <c r="Q134" t="s">
        <v>665</v>
      </c>
      <c r="R134" t="s">
        <v>608</v>
      </c>
      <c r="U134">
        <v>5.5</v>
      </c>
      <c r="V134">
        <v>6</v>
      </c>
      <c r="W134" t="s">
        <v>350</v>
      </c>
      <c r="X134" t="s">
        <v>349</v>
      </c>
      <c r="Y134" t="s">
        <v>348</v>
      </c>
      <c r="Z134">
        <v>2017</v>
      </c>
      <c r="AB134">
        <v>12</v>
      </c>
      <c r="AC134">
        <v>6.01</v>
      </c>
      <c r="AE134" t="s">
        <v>346</v>
      </c>
      <c r="AF134">
        <v>46.142674</v>
      </c>
      <c r="AG134">
        <v>-115.598088</v>
      </c>
      <c r="AH134">
        <v>14269945</v>
      </c>
      <c r="AI134">
        <f>17-68327</f>
        <v>-68310</v>
      </c>
    </row>
    <row r="135" spans="2:35">
      <c r="B135" t="s">
        <v>345</v>
      </c>
      <c r="C135" t="s">
        <v>648</v>
      </c>
      <c r="D135" s="3">
        <v>42852.322916666664</v>
      </c>
      <c r="F135">
        <v>2017</v>
      </c>
      <c r="G135" t="s">
        <v>351</v>
      </c>
      <c r="H135" t="s">
        <v>352</v>
      </c>
      <c r="J135">
        <v>0</v>
      </c>
      <c r="L135">
        <v>1</v>
      </c>
      <c r="M135">
        <v>115</v>
      </c>
      <c r="N135">
        <v>4</v>
      </c>
      <c r="O135" t="s">
        <v>353</v>
      </c>
      <c r="R135" t="s">
        <v>608</v>
      </c>
      <c r="U135">
        <v>5.5</v>
      </c>
      <c r="V135">
        <v>6</v>
      </c>
      <c r="W135" t="s">
        <v>350</v>
      </c>
      <c r="X135" t="s">
        <v>349</v>
      </c>
      <c r="Y135" t="s">
        <v>348</v>
      </c>
      <c r="Z135">
        <v>2017</v>
      </c>
      <c r="AB135">
        <v>12</v>
      </c>
      <c r="AC135">
        <v>6.01</v>
      </c>
      <c r="AE135" t="s">
        <v>346</v>
      </c>
      <c r="AF135">
        <v>46.142674</v>
      </c>
      <c r="AG135">
        <v>-115.598088</v>
      </c>
      <c r="AH135">
        <v>14269946</v>
      </c>
    </row>
    <row r="136" spans="2:35">
      <c r="B136" t="s">
        <v>345</v>
      </c>
      <c r="C136" t="s">
        <v>666</v>
      </c>
      <c r="D136" s="3">
        <v>42823.336805555555</v>
      </c>
      <c r="F136">
        <v>2017</v>
      </c>
      <c r="G136" t="s">
        <v>574</v>
      </c>
      <c r="H136" t="s">
        <v>352</v>
      </c>
      <c r="J136">
        <v>0</v>
      </c>
      <c r="L136">
        <v>1</v>
      </c>
      <c r="M136">
        <v>97</v>
      </c>
      <c r="N136">
        <v>11</v>
      </c>
      <c r="O136" t="s">
        <v>575</v>
      </c>
      <c r="Q136" t="s">
        <v>576</v>
      </c>
      <c r="U136">
        <v>5</v>
      </c>
      <c r="V136">
        <v>5</v>
      </c>
      <c r="W136" t="s">
        <v>350</v>
      </c>
      <c r="X136" t="s">
        <v>349</v>
      </c>
      <c r="Y136" t="s">
        <v>580</v>
      </c>
      <c r="Z136">
        <v>2017</v>
      </c>
      <c r="AB136">
        <v>11</v>
      </c>
      <c r="AC136">
        <v>5.82</v>
      </c>
      <c r="AE136" t="s">
        <v>346</v>
      </c>
      <c r="AF136">
        <v>46.142674</v>
      </c>
      <c r="AG136">
        <v>-115.598088</v>
      </c>
      <c r="AH136">
        <v>14311723</v>
      </c>
    </row>
    <row r="137" spans="2:35">
      <c r="B137" t="s">
        <v>345</v>
      </c>
      <c r="C137" t="s">
        <v>666</v>
      </c>
      <c r="D137" s="3">
        <v>42823.336805555555</v>
      </c>
      <c r="F137">
        <v>2017</v>
      </c>
      <c r="G137" t="s">
        <v>574</v>
      </c>
      <c r="H137" t="s">
        <v>352</v>
      </c>
      <c r="J137">
        <v>0</v>
      </c>
      <c r="L137">
        <v>1</v>
      </c>
      <c r="M137">
        <v>91</v>
      </c>
      <c r="N137">
        <v>10</v>
      </c>
      <c r="O137" t="s">
        <v>575</v>
      </c>
      <c r="Q137" t="s">
        <v>576</v>
      </c>
      <c r="U137">
        <v>5</v>
      </c>
      <c r="V137">
        <v>5</v>
      </c>
      <c r="W137" t="s">
        <v>350</v>
      </c>
      <c r="X137" t="s">
        <v>349</v>
      </c>
      <c r="Y137" t="s">
        <v>580</v>
      </c>
      <c r="Z137">
        <v>2017</v>
      </c>
      <c r="AB137">
        <v>11</v>
      </c>
      <c r="AC137">
        <v>5.82</v>
      </c>
      <c r="AE137" t="s">
        <v>346</v>
      </c>
      <c r="AF137">
        <v>46.142674</v>
      </c>
      <c r="AG137">
        <v>-115.598088</v>
      </c>
      <c r="AH137">
        <v>14311724</v>
      </c>
    </row>
    <row r="138" spans="2:35">
      <c r="B138" t="s">
        <v>345</v>
      </c>
      <c r="C138" t="s">
        <v>666</v>
      </c>
      <c r="D138" s="3">
        <v>42823.336805555555</v>
      </c>
      <c r="F138">
        <v>2017</v>
      </c>
      <c r="G138" t="s">
        <v>578</v>
      </c>
      <c r="H138" t="s">
        <v>352</v>
      </c>
      <c r="J138">
        <v>0</v>
      </c>
      <c r="L138">
        <v>1</v>
      </c>
      <c r="M138">
        <v>135</v>
      </c>
      <c r="N138">
        <v>24</v>
      </c>
      <c r="O138" t="s">
        <v>575</v>
      </c>
      <c r="Q138" t="s">
        <v>667</v>
      </c>
      <c r="U138">
        <v>5</v>
      </c>
      <c r="V138">
        <v>5</v>
      </c>
      <c r="W138" t="s">
        <v>350</v>
      </c>
      <c r="X138" t="s">
        <v>349</v>
      </c>
      <c r="Y138" t="s">
        <v>580</v>
      </c>
      <c r="Z138">
        <v>2017</v>
      </c>
      <c r="AB138">
        <v>11</v>
      </c>
      <c r="AC138">
        <v>5.82</v>
      </c>
      <c r="AE138" t="s">
        <v>346</v>
      </c>
      <c r="AF138">
        <v>46.142674</v>
      </c>
      <c r="AG138">
        <v>-115.598088</v>
      </c>
      <c r="AH138">
        <v>14311725</v>
      </c>
    </row>
    <row r="139" spans="2:35">
      <c r="B139" t="s">
        <v>345</v>
      </c>
      <c r="C139" t="s">
        <v>668</v>
      </c>
      <c r="D139" s="3">
        <v>42860.332638888889</v>
      </c>
      <c r="F139">
        <v>2017</v>
      </c>
      <c r="G139" t="s">
        <v>578</v>
      </c>
      <c r="H139" t="s">
        <v>352</v>
      </c>
      <c r="J139">
        <v>0</v>
      </c>
      <c r="L139">
        <v>1</v>
      </c>
      <c r="M139">
        <v>178</v>
      </c>
      <c r="N139">
        <v>52</v>
      </c>
      <c r="O139" t="s">
        <v>575</v>
      </c>
      <c r="Q139" t="s">
        <v>669</v>
      </c>
      <c r="R139" t="s">
        <v>670</v>
      </c>
      <c r="U139">
        <v>8</v>
      </c>
      <c r="V139">
        <v>8</v>
      </c>
      <c r="W139" t="s">
        <v>350</v>
      </c>
      <c r="X139" t="s">
        <v>349</v>
      </c>
      <c r="Y139" t="s">
        <v>580</v>
      </c>
      <c r="Z139">
        <v>2017</v>
      </c>
      <c r="AB139">
        <v>13</v>
      </c>
      <c r="AC139">
        <v>7.04</v>
      </c>
      <c r="AE139" t="s">
        <v>346</v>
      </c>
      <c r="AF139">
        <v>46.142674</v>
      </c>
      <c r="AG139">
        <v>-115.598088</v>
      </c>
      <c r="AH139">
        <v>14312332</v>
      </c>
    </row>
    <row r="140" spans="2:35">
      <c r="B140" t="s">
        <v>345</v>
      </c>
      <c r="C140" t="s">
        <v>668</v>
      </c>
      <c r="D140" s="3">
        <v>42860.332638888889</v>
      </c>
      <c r="F140">
        <v>2017</v>
      </c>
      <c r="G140" t="s">
        <v>578</v>
      </c>
      <c r="H140" t="s">
        <v>352</v>
      </c>
      <c r="J140">
        <v>0</v>
      </c>
      <c r="L140">
        <v>1</v>
      </c>
      <c r="M140">
        <v>162</v>
      </c>
      <c r="N140">
        <v>41</v>
      </c>
      <c r="O140" t="s">
        <v>575</v>
      </c>
      <c r="Q140" t="s">
        <v>576</v>
      </c>
      <c r="R140" t="s">
        <v>670</v>
      </c>
      <c r="U140">
        <v>8</v>
      </c>
      <c r="V140">
        <v>8</v>
      </c>
      <c r="W140" t="s">
        <v>350</v>
      </c>
      <c r="X140" t="s">
        <v>349</v>
      </c>
      <c r="Y140" t="s">
        <v>580</v>
      </c>
      <c r="Z140">
        <v>2017</v>
      </c>
      <c r="AB140">
        <v>13</v>
      </c>
      <c r="AC140">
        <v>7.04</v>
      </c>
      <c r="AE140" t="s">
        <v>346</v>
      </c>
      <c r="AF140">
        <v>46.142674</v>
      </c>
      <c r="AG140">
        <v>-115.598088</v>
      </c>
      <c r="AH140">
        <v>14312333</v>
      </c>
    </row>
    <row r="141" spans="2:35">
      <c r="B141" t="s">
        <v>345</v>
      </c>
      <c r="C141" t="s">
        <v>668</v>
      </c>
      <c r="D141" s="3">
        <v>42860.332638888889</v>
      </c>
      <c r="F141">
        <v>2017</v>
      </c>
      <c r="G141" t="s">
        <v>578</v>
      </c>
      <c r="H141" t="s">
        <v>352</v>
      </c>
      <c r="J141">
        <v>0</v>
      </c>
      <c r="L141">
        <v>1</v>
      </c>
      <c r="M141">
        <v>168</v>
      </c>
      <c r="N141">
        <v>43</v>
      </c>
      <c r="O141" t="s">
        <v>575</v>
      </c>
      <c r="Q141" t="s">
        <v>576</v>
      </c>
      <c r="R141" t="s">
        <v>670</v>
      </c>
      <c r="U141">
        <v>8</v>
      </c>
      <c r="V141">
        <v>8</v>
      </c>
      <c r="W141" t="s">
        <v>350</v>
      </c>
      <c r="X141" t="s">
        <v>349</v>
      </c>
      <c r="Y141" t="s">
        <v>580</v>
      </c>
      <c r="Z141">
        <v>2017</v>
      </c>
      <c r="AB141">
        <v>13</v>
      </c>
      <c r="AC141">
        <v>7.04</v>
      </c>
      <c r="AE141" t="s">
        <v>346</v>
      </c>
      <c r="AF141">
        <v>46.142674</v>
      </c>
      <c r="AG141">
        <v>-115.598088</v>
      </c>
      <c r="AH141">
        <v>14312334</v>
      </c>
    </row>
    <row r="142" spans="2:35">
      <c r="B142" t="s">
        <v>345</v>
      </c>
      <c r="C142" t="s">
        <v>668</v>
      </c>
      <c r="D142" s="3">
        <v>42860.332638888889</v>
      </c>
      <c r="F142">
        <v>2017</v>
      </c>
      <c r="G142" t="s">
        <v>578</v>
      </c>
      <c r="H142" t="s">
        <v>352</v>
      </c>
      <c r="J142">
        <v>0</v>
      </c>
      <c r="L142">
        <v>1</v>
      </c>
      <c r="M142">
        <v>182</v>
      </c>
      <c r="N142">
        <v>57</v>
      </c>
      <c r="O142" t="s">
        <v>575</v>
      </c>
      <c r="Q142" t="s">
        <v>576</v>
      </c>
      <c r="R142" t="s">
        <v>670</v>
      </c>
      <c r="U142">
        <v>8</v>
      </c>
      <c r="V142">
        <v>8</v>
      </c>
      <c r="W142" t="s">
        <v>350</v>
      </c>
      <c r="X142" t="s">
        <v>349</v>
      </c>
      <c r="Y142" t="s">
        <v>580</v>
      </c>
      <c r="Z142">
        <v>2017</v>
      </c>
      <c r="AB142">
        <v>13</v>
      </c>
      <c r="AC142">
        <v>7.04</v>
      </c>
      <c r="AE142" t="s">
        <v>346</v>
      </c>
      <c r="AF142">
        <v>46.142674</v>
      </c>
      <c r="AG142">
        <v>-115.598088</v>
      </c>
      <c r="AH142">
        <v>14312335</v>
      </c>
    </row>
    <row r="143" spans="2:35">
      <c r="B143" t="s">
        <v>345</v>
      </c>
      <c r="C143" t="s">
        <v>668</v>
      </c>
      <c r="D143" s="3">
        <v>42860.332638888889</v>
      </c>
      <c r="F143">
        <v>2017</v>
      </c>
      <c r="G143" t="s">
        <v>578</v>
      </c>
      <c r="H143" t="s">
        <v>352</v>
      </c>
      <c r="J143">
        <v>0</v>
      </c>
      <c r="L143">
        <v>1</v>
      </c>
      <c r="M143">
        <v>175</v>
      </c>
      <c r="N143">
        <v>55</v>
      </c>
      <c r="O143" t="s">
        <v>575</v>
      </c>
      <c r="Q143" t="s">
        <v>576</v>
      </c>
      <c r="R143" t="s">
        <v>670</v>
      </c>
      <c r="U143">
        <v>8</v>
      </c>
      <c r="V143">
        <v>8</v>
      </c>
      <c r="W143" t="s">
        <v>350</v>
      </c>
      <c r="X143" t="s">
        <v>349</v>
      </c>
      <c r="Y143" t="s">
        <v>580</v>
      </c>
      <c r="Z143">
        <v>2017</v>
      </c>
      <c r="AB143">
        <v>13</v>
      </c>
      <c r="AC143">
        <v>7.04</v>
      </c>
      <c r="AE143" t="s">
        <v>346</v>
      </c>
      <c r="AF143">
        <v>46.142674</v>
      </c>
      <c r="AG143">
        <v>-115.598088</v>
      </c>
      <c r="AH143">
        <v>14312336</v>
      </c>
    </row>
    <row r="144" spans="2:35">
      <c r="B144" t="s">
        <v>345</v>
      </c>
      <c r="C144" t="s">
        <v>668</v>
      </c>
      <c r="D144" s="3">
        <v>42860.332638888889</v>
      </c>
      <c r="F144">
        <v>2017</v>
      </c>
      <c r="G144" t="s">
        <v>578</v>
      </c>
      <c r="H144" t="s">
        <v>352</v>
      </c>
      <c r="J144">
        <v>0</v>
      </c>
      <c r="L144">
        <v>1</v>
      </c>
      <c r="M144">
        <v>176</v>
      </c>
      <c r="N144">
        <v>46</v>
      </c>
      <c r="O144" t="s">
        <v>575</v>
      </c>
      <c r="Q144" t="s">
        <v>576</v>
      </c>
      <c r="R144" t="s">
        <v>670</v>
      </c>
      <c r="U144">
        <v>8</v>
      </c>
      <c r="V144">
        <v>8</v>
      </c>
      <c r="W144" t="s">
        <v>350</v>
      </c>
      <c r="X144" t="s">
        <v>349</v>
      </c>
      <c r="Y144" t="s">
        <v>580</v>
      </c>
      <c r="Z144">
        <v>2017</v>
      </c>
      <c r="AB144">
        <v>13</v>
      </c>
      <c r="AC144">
        <v>7.04</v>
      </c>
      <c r="AE144" t="s">
        <v>346</v>
      </c>
      <c r="AF144">
        <v>46.142674</v>
      </c>
      <c r="AG144">
        <v>-115.598088</v>
      </c>
      <c r="AH144">
        <v>14312337</v>
      </c>
    </row>
    <row r="145" spans="2:34">
      <c r="B145" t="s">
        <v>345</v>
      </c>
      <c r="C145" t="s">
        <v>668</v>
      </c>
      <c r="D145" s="3">
        <v>42860.332638888889</v>
      </c>
      <c r="F145">
        <v>2017</v>
      </c>
      <c r="G145" t="s">
        <v>578</v>
      </c>
      <c r="H145" t="s">
        <v>352</v>
      </c>
      <c r="J145">
        <v>0</v>
      </c>
      <c r="L145">
        <v>1</v>
      </c>
      <c r="M145">
        <v>186</v>
      </c>
      <c r="N145">
        <v>59</v>
      </c>
      <c r="O145" t="s">
        <v>575</v>
      </c>
      <c r="Q145" t="s">
        <v>671</v>
      </c>
      <c r="R145" t="s">
        <v>670</v>
      </c>
      <c r="U145">
        <v>8</v>
      </c>
      <c r="V145">
        <v>8</v>
      </c>
      <c r="W145" t="s">
        <v>350</v>
      </c>
      <c r="X145" t="s">
        <v>349</v>
      </c>
      <c r="Y145" t="s">
        <v>580</v>
      </c>
      <c r="Z145">
        <v>2017</v>
      </c>
      <c r="AB145">
        <v>13</v>
      </c>
      <c r="AC145">
        <v>7.04</v>
      </c>
      <c r="AE145" t="s">
        <v>346</v>
      </c>
      <c r="AF145">
        <v>46.142674</v>
      </c>
      <c r="AG145">
        <v>-115.598088</v>
      </c>
      <c r="AH145">
        <v>14312338</v>
      </c>
    </row>
    <row r="146" spans="2:34">
      <c r="B146" t="s">
        <v>345</v>
      </c>
      <c r="C146" t="s">
        <v>668</v>
      </c>
      <c r="D146" s="3">
        <v>42860.332638888889</v>
      </c>
      <c r="F146">
        <v>2017</v>
      </c>
      <c r="G146" t="s">
        <v>578</v>
      </c>
      <c r="H146" t="s">
        <v>352</v>
      </c>
      <c r="J146">
        <v>0</v>
      </c>
      <c r="L146">
        <v>1</v>
      </c>
      <c r="M146">
        <v>183</v>
      </c>
      <c r="N146">
        <v>54</v>
      </c>
      <c r="O146" t="s">
        <v>575</v>
      </c>
      <c r="Q146" t="s">
        <v>576</v>
      </c>
      <c r="R146" t="s">
        <v>670</v>
      </c>
      <c r="U146">
        <v>8</v>
      </c>
      <c r="V146">
        <v>8</v>
      </c>
      <c r="W146" t="s">
        <v>350</v>
      </c>
      <c r="X146" t="s">
        <v>349</v>
      </c>
      <c r="Y146" t="s">
        <v>580</v>
      </c>
      <c r="Z146">
        <v>2017</v>
      </c>
      <c r="AB146">
        <v>13</v>
      </c>
      <c r="AC146">
        <v>7.04</v>
      </c>
      <c r="AE146" t="s">
        <v>346</v>
      </c>
      <c r="AF146">
        <v>46.142674</v>
      </c>
      <c r="AG146">
        <v>-115.598088</v>
      </c>
      <c r="AH146">
        <v>14312339</v>
      </c>
    </row>
    <row r="147" spans="2:34">
      <c r="B147" t="s">
        <v>345</v>
      </c>
      <c r="C147" t="s">
        <v>668</v>
      </c>
      <c r="D147" s="3">
        <v>42860.332638888889</v>
      </c>
      <c r="F147">
        <v>2017</v>
      </c>
      <c r="G147" t="s">
        <v>578</v>
      </c>
      <c r="H147" t="s">
        <v>352</v>
      </c>
      <c r="J147">
        <v>0</v>
      </c>
      <c r="L147">
        <v>1</v>
      </c>
      <c r="M147">
        <v>162</v>
      </c>
      <c r="N147">
        <v>38</v>
      </c>
      <c r="O147" t="s">
        <v>575</v>
      </c>
      <c r="Q147" t="s">
        <v>576</v>
      </c>
      <c r="R147" t="s">
        <v>670</v>
      </c>
      <c r="U147">
        <v>8</v>
      </c>
      <c r="V147">
        <v>8</v>
      </c>
      <c r="W147" t="s">
        <v>350</v>
      </c>
      <c r="X147" t="s">
        <v>349</v>
      </c>
      <c r="Y147" t="s">
        <v>580</v>
      </c>
      <c r="Z147">
        <v>2017</v>
      </c>
      <c r="AB147">
        <v>13</v>
      </c>
      <c r="AC147">
        <v>7.04</v>
      </c>
      <c r="AE147" t="s">
        <v>346</v>
      </c>
      <c r="AF147">
        <v>46.142674</v>
      </c>
      <c r="AG147">
        <v>-115.598088</v>
      </c>
      <c r="AH147">
        <v>14312340</v>
      </c>
    </row>
    <row r="148" spans="2:34">
      <c r="B148" t="s">
        <v>345</v>
      </c>
      <c r="C148" t="s">
        <v>668</v>
      </c>
      <c r="D148" s="3">
        <v>42860.332638888889</v>
      </c>
      <c r="F148">
        <v>2017</v>
      </c>
      <c r="G148" t="s">
        <v>578</v>
      </c>
      <c r="H148" t="s">
        <v>352</v>
      </c>
      <c r="J148">
        <v>0</v>
      </c>
      <c r="L148">
        <v>1</v>
      </c>
      <c r="M148">
        <v>164</v>
      </c>
      <c r="N148">
        <v>38</v>
      </c>
      <c r="O148" t="s">
        <v>575</v>
      </c>
      <c r="Q148" t="s">
        <v>576</v>
      </c>
      <c r="R148" t="s">
        <v>670</v>
      </c>
      <c r="U148">
        <v>8</v>
      </c>
      <c r="V148">
        <v>8</v>
      </c>
      <c r="W148" t="s">
        <v>350</v>
      </c>
      <c r="X148" t="s">
        <v>349</v>
      </c>
      <c r="Y148" t="s">
        <v>580</v>
      </c>
      <c r="Z148">
        <v>2017</v>
      </c>
      <c r="AB148">
        <v>13</v>
      </c>
      <c r="AC148">
        <v>7.04</v>
      </c>
      <c r="AE148" t="s">
        <v>346</v>
      </c>
      <c r="AF148">
        <v>46.142674</v>
      </c>
      <c r="AG148">
        <v>-115.598088</v>
      </c>
      <c r="AH148">
        <v>14312341</v>
      </c>
    </row>
    <row r="149" spans="2:34">
      <c r="B149" t="s">
        <v>345</v>
      </c>
      <c r="C149" t="s">
        <v>668</v>
      </c>
      <c r="D149" s="3">
        <v>42860.332638888889</v>
      </c>
      <c r="F149">
        <v>2017</v>
      </c>
      <c r="G149" t="s">
        <v>578</v>
      </c>
      <c r="H149" t="s">
        <v>352</v>
      </c>
      <c r="J149">
        <v>0</v>
      </c>
      <c r="L149">
        <v>1</v>
      </c>
      <c r="M149">
        <v>152</v>
      </c>
      <c r="N149">
        <v>33</v>
      </c>
      <c r="O149" t="s">
        <v>575</v>
      </c>
      <c r="Q149" t="s">
        <v>576</v>
      </c>
      <c r="R149" t="s">
        <v>670</v>
      </c>
      <c r="U149">
        <v>8</v>
      </c>
      <c r="V149">
        <v>8</v>
      </c>
      <c r="W149" t="s">
        <v>350</v>
      </c>
      <c r="X149" t="s">
        <v>349</v>
      </c>
      <c r="Y149" t="s">
        <v>580</v>
      </c>
      <c r="Z149">
        <v>2017</v>
      </c>
      <c r="AB149">
        <v>13</v>
      </c>
      <c r="AC149">
        <v>7.04</v>
      </c>
      <c r="AE149" t="s">
        <v>346</v>
      </c>
      <c r="AF149">
        <v>46.142674</v>
      </c>
      <c r="AG149">
        <v>-115.598088</v>
      </c>
      <c r="AH149">
        <v>14312342</v>
      </c>
    </row>
    <row r="150" spans="2:34">
      <c r="B150" t="s">
        <v>345</v>
      </c>
      <c r="C150" t="s">
        <v>668</v>
      </c>
      <c r="D150" s="3">
        <v>42860.332638888889</v>
      </c>
      <c r="F150">
        <v>2017</v>
      </c>
      <c r="G150" t="s">
        <v>574</v>
      </c>
      <c r="H150" t="s">
        <v>352</v>
      </c>
      <c r="J150">
        <v>0</v>
      </c>
      <c r="L150">
        <v>1</v>
      </c>
      <c r="M150">
        <v>109</v>
      </c>
      <c r="N150">
        <v>16</v>
      </c>
      <c r="O150" t="s">
        <v>575</v>
      </c>
      <c r="Q150" t="s">
        <v>576</v>
      </c>
      <c r="R150" t="s">
        <v>670</v>
      </c>
      <c r="U150">
        <v>8</v>
      </c>
      <c r="V150">
        <v>8</v>
      </c>
      <c r="W150" t="s">
        <v>350</v>
      </c>
      <c r="X150" t="s">
        <v>349</v>
      </c>
      <c r="Y150" t="s">
        <v>580</v>
      </c>
      <c r="Z150">
        <v>2017</v>
      </c>
      <c r="AB150">
        <v>13</v>
      </c>
      <c r="AC150">
        <v>7.04</v>
      </c>
      <c r="AE150" t="s">
        <v>346</v>
      </c>
      <c r="AF150">
        <v>46.142674</v>
      </c>
      <c r="AG150">
        <v>-115.598088</v>
      </c>
      <c r="AH150">
        <v>14312343</v>
      </c>
    </row>
    <row r="151" spans="2:34">
      <c r="B151" t="s">
        <v>345</v>
      </c>
      <c r="C151" t="s">
        <v>668</v>
      </c>
      <c r="D151" s="3">
        <v>42860.332638888889</v>
      </c>
      <c r="F151">
        <v>2017</v>
      </c>
      <c r="G151" t="s">
        <v>578</v>
      </c>
      <c r="H151" t="s">
        <v>352</v>
      </c>
      <c r="J151">
        <v>0</v>
      </c>
      <c r="L151">
        <v>1</v>
      </c>
      <c r="M151">
        <v>167</v>
      </c>
      <c r="N151">
        <v>40</v>
      </c>
      <c r="O151" t="s">
        <v>575</v>
      </c>
      <c r="Q151" t="s">
        <v>576</v>
      </c>
      <c r="R151" t="s">
        <v>670</v>
      </c>
      <c r="U151">
        <v>8</v>
      </c>
      <c r="V151">
        <v>8</v>
      </c>
      <c r="W151" t="s">
        <v>350</v>
      </c>
      <c r="X151" t="s">
        <v>349</v>
      </c>
      <c r="Y151" t="s">
        <v>580</v>
      </c>
      <c r="Z151">
        <v>2017</v>
      </c>
      <c r="AB151">
        <v>13</v>
      </c>
      <c r="AC151">
        <v>7.04</v>
      </c>
      <c r="AE151" t="s">
        <v>346</v>
      </c>
      <c r="AF151">
        <v>46.142674</v>
      </c>
      <c r="AG151">
        <v>-115.598088</v>
      </c>
      <c r="AH151">
        <v>14312344</v>
      </c>
    </row>
    <row r="152" spans="2:34">
      <c r="B152" t="s">
        <v>345</v>
      </c>
      <c r="C152" t="s">
        <v>668</v>
      </c>
      <c r="D152" s="3">
        <v>42860.332638888889</v>
      </c>
      <c r="F152">
        <v>2017</v>
      </c>
      <c r="G152" t="s">
        <v>578</v>
      </c>
      <c r="H152" t="s">
        <v>352</v>
      </c>
      <c r="J152">
        <v>0</v>
      </c>
      <c r="L152">
        <v>1</v>
      </c>
      <c r="M152">
        <v>160</v>
      </c>
      <c r="N152">
        <v>38</v>
      </c>
      <c r="O152" t="s">
        <v>575</v>
      </c>
      <c r="Q152" t="s">
        <v>576</v>
      </c>
      <c r="R152" t="s">
        <v>670</v>
      </c>
      <c r="U152">
        <v>8</v>
      </c>
      <c r="V152">
        <v>8</v>
      </c>
      <c r="W152" t="s">
        <v>350</v>
      </c>
      <c r="X152" t="s">
        <v>349</v>
      </c>
      <c r="Y152" t="s">
        <v>580</v>
      </c>
      <c r="Z152">
        <v>2017</v>
      </c>
      <c r="AB152">
        <v>13</v>
      </c>
      <c r="AC152">
        <v>7.04</v>
      </c>
      <c r="AE152" t="s">
        <v>346</v>
      </c>
      <c r="AF152">
        <v>46.142674</v>
      </c>
      <c r="AG152">
        <v>-115.598088</v>
      </c>
      <c r="AH152">
        <v>14312345</v>
      </c>
    </row>
    <row r="153" spans="2:34">
      <c r="B153" t="s">
        <v>345</v>
      </c>
      <c r="C153" t="s">
        <v>668</v>
      </c>
      <c r="D153" s="3">
        <v>42860.332638888889</v>
      </c>
      <c r="F153">
        <v>2017</v>
      </c>
      <c r="G153" t="s">
        <v>578</v>
      </c>
      <c r="H153" t="s">
        <v>352</v>
      </c>
      <c r="J153">
        <v>0</v>
      </c>
      <c r="L153">
        <v>1</v>
      </c>
      <c r="M153">
        <v>169</v>
      </c>
      <c r="N153">
        <v>47</v>
      </c>
      <c r="O153" t="s">
        <v>575</v>
      </c>
      <c r="Q153" t="s">
        <v>576</v>
      </c>
      <c r="R153" t="s">
        <v>670</v>
      </c>
      <c r="U153">
        <v>8</v>
      </c>
      <c r="V153">
        <v>8</v>
      </c>
      <c r="W153" t="s">
        <v>350</v>
      </c>
      <c r="X153" t="s">
        <v>349</v>
      </c>
      <c r="Y153" t="s">
        <v>580</v>
      </c>
      <c r="Z153">
        <v>2017</v>
      </c>
      <c r="AB153">
        <v>13</v>
      </c>
      <c r="AC153">
        <v>7.04</v>
      </c>
      <c r="AE153" t="s">
        <v>346</v>
      </c>
      <c r="AF153">
        <v>46.142674</v>
      </c>
      <c r="AG153">
        <v>-115.598088</v>
      </c>
      <c r="AH153">
        <v>14312346</v>
      </c>
    </row>
    <row r="154" spans="2:34">
      <c r="B154" t="s">
        <v>345</v>
      </c>
      <c r="C154" t="s">
        <v>668</v>
      </c>
      <c r="D154" s="3">
        <v>42860.332638888889</v>
      </c>
      <c r="F154">
        <v>2017</v>
      </c>
      <c r="G154" t="s">
        <v>578</v>
      </c>
      <c r="H154" t="s">
        <v>352</v>
      </c>
      <c r="J154">
        <v>0</v>
      </c>
      <c r="L154">
        <v>1</v>
      </c>
      <c r="M154">
        <v>171</v>
      </c>
      <c r="N154">
        <v>49</v>
      </c>
      <c r="O154" t="s">
        <v>575</v>
      </c>
      <c r="Q154" t="s">
        <v>576</v>
      </c>
      <c r="R154" t="s">
        <v>670</v>
      </c>
      <c r="U154">
        <v>8</v>
      </c>
      <c r="V154">
        <v>8</v>
      </c>
      <c r="W154" t="s">
        <v>350</v>
      </c>
      <c r="X154" t="s">
        <v>349</v>
      </c>
      <c r="Y154" t="s">
        <v>580</v>
      </c>
      <c r="Z154">
        <v>2017</v>
      </c>
      <c r="AB154">
        <v>13</v>
      </c>
      <c r="AC154">
        <v>7.04</v>
      </c>
      <c r="AE154" t="s">
        <v>346</v>
      </c>
      <c r="AF154">
        <v>46.142674</v>
      </c>
      <c r="AG154">
        <v>-115.598088</v>
      </c>
      <c r="AH154">
        <v>14312347</v>
      </c>
    </row>
    <row r="155" spans="2:34">
      <c r="B155" t="s">
        <v>345</v>
      </c>
      <c r="C155" t="s">
        <v>668</v>
      </c>
      <c r="D155" s="3">
        <v>42860.332638888889</v>
      </c>
      <c r="F155">
        <v>2017</v>
      </c>
      <c r="G155" t="s">
        <v>578</v>
      </c>
      <c r="H155" t="s">
        <v>352</v>
      </c>
      <c r="J155">
        <v>0</v>
      </c>
      <c r="L155">
        <v>1</v>
      </c>
      <c r="M155">
        <v>148</v>
      </c>
      <c r="N155">
        <v>33</v>
      </c>
      <c r="O155" t="s">
        <v>575</v>
      </c>
      <c r="Q155" t="s">
        <v>672</v>
      </c>
      <c r="R155" t="s">
        <v>670</v>
      </c>
      <c r="U155">
        <v>8</v>
      </c>
      <c r="V155">
        <v>8</v>
      </c>
      <c r="W155" t="s">
        <v>350</v>
      </c>
      <c r="X155" t="s">
        <v>349</v>
      </c>
      <c r="Y155" t="s">
        <v>580</v>
      </c>
      <c r="Z155">
        <v>2017</v>
      </c>
      <c r="AB155">
        <v>13</v>
      </c>
      <c r="AC155">
        <v>7.04</v>
      </c>
      <c r="AE155" t="s">
        <v>346</v>
      </c>
      <c r="AF155">
        <v>46.142674</v>
      </c>
      <c r="AG155">
        <v>-115.598088</v>
      </c>
      <c r="AH155">
        <v>14312348</v>
      </c>
    </row>
    <row r="156" spans="2:34">
      <c r="B156" t="s">
        <v>345</v>
      </c>
      <c r="C156" t="s">
        <v>668</v>
      </c>
      <c r="D156" s="3">
        <v>42860.332638888889</v>
      </c>
      <c r="F156">
        <v>2017</v>
      </c>
      <c r="G156" t="s">
        <v>578</v>
      </c>
      <c r="H156" t="s">
        <v>352</v>
      </c>
      <c r="J156">
        <v>0</v>
      </c>
      <c r="L156">
        <v>1</v>
      </c>
      <c r="M156">
        <v>180</v>
      </c>
      <c r="N156">
        <v>54</v>
      </c>
      <c r="O156" t="s">
        <v>575</v>
      </c>
      <c r="Q156" t="s">
        <v>576</v>
      </c>
      <c r="R156" t="s">
        <v>670</v>
      </c>
      <c r="U156">
        <v>8</v>
      </c>
      <c r="V156">
        <v>8</v>
      </c>
      <c r="W156" t="s">
        <v>350</v>
      </c>
      <c r="X156" t="s">
        <v>349</v>
      </c>
      <c r="Y156" t="s">
        <v>580</v>
      </c>
      <c r="Z156">
        <v>2017</v>
      </c>
      <c r="AB156">
        <v>13</v>
      </c>
      <c r="AC156">
        <v>7.04</v>
      </c>
      <c r="AE156" t="s">
        <v>346</v>
      </c>
      <c r="AF156">
        <v>46.142674</v>
      </c>
      <c r="AG156">
        <v>-115.598088</v>
      </c>
      <c r="AH156">
        <v>14312349</v>
      </c>
    </row>
    <row r="157" spans="2:34">
      <c r="B157" t="s">
        <v>345</v>
      </c>
      <c r="C157" t="s">
        <v>668</v>
      </c>
      <c r="D157" s="3">
        <v>42860.332638888889</v>
      </c>
      <c r="F157">
        <v>2017</v>
      </c>
      <c r="G157" t="s">
        <v>578</v>
      </c>
      <c r="H157" t="s">
        <v>352</v>
      </c>
      <c r="J157">
        <v>0</v>
      </c>
      <c r="L157">
        <v>1</v>
      </c>
      <c r="M157">
        <v>166</v>
      </c>
      <c r="N157">
        <v>43</v>
      </c>
      <c r="O157" t="s">
        <v>575</v>
      </c>
      <c r="Q157" t="s">
        <v>576</v>
      </c>
      <c r="R157" t="s">
        <v>670</v>
      </c>
      <c r="U157">
        <v>8</v>
      </c>
      <c r="V157">
        <v>8</v>
      </c>
      <c r="W157" t="s">
        <v>350</v>
      </c>
      <c r="X157" t="s">
        <v>349</v>
      </c>
      <c r="Y157" t="s">
        <v>580</v>
      </c>
      <c r="Z157">
        <v>2017</v>
      </c>
      <c r="AB157">
        <v>13</v>
      </c>
      <c r="AC157">
        <v>7.04</v>
      </c>
      <c r="AE157" t="s">
        <v>346</v>
      </c>
      <c r="AF157">
        <v>46.142674</v>
      </c>
      <c r="AG157">
        <v>-115.598088</v>
      </c>
      <c r="AH157">
        <v>14312350</v>
      </c>
    </row>
    <row r="158" spans="2:34">
      <c r="B158" t="s">
        <v>345</v>
      </c>
      <c r="C158" t="s">
        <v>668</v>
      </c>
      <c r="D158" s="3">
        <v>42860.332638888889</v>
      </c>
      <c r="F158">
        <v>2017</v>
      </c>
      <c r="G158" t="s">
        <v>578</v>
      </c>
      <c r="H158" t="s">
        <v>352</v>
      </c>
      <c r="J158">
        <v>0</v>
      </c>
      <c r="L158">
        <v>1</v>
      </c>
      <c r="M158">
        <v>172</v>
      </c>
      <c r="N158">
        <v>44</v>
      </c>
      <c r="O158" t="s">
        <v>575</v>
      </c>
      <c r="Q158" t="s">
        <v>576</v>
      </c>
      <c r="R158" t="s">
        <v>670</v>
      </c>
      <c r="U158">
        <v>8</v>
      </c>
      <c r="V158">
        <v>8</v>
      </c>
      <c r="W158" t="s">
        <v>350</v>
      </c>
      <c r="X158" t="s">
        <v>349</v>
      </c>
      <c r="Y158" t="s">
        <v>580</v>
      </c>
      <c r="Z158">
        <v>2017</v>
      </c>
      <c r="AB158">
        <v>13</v>
      </c>
      <c r="AC158">
        <v>7.04</v>
      </c>
      <c r="AE158" t="s">
        <v>346</v>
      </c>
      <c r="AF158">
        <v>46.142674</v>
      </c>
      <c r="AG158">
        <v>-115.598088</v>
      </c>
      <c r="AH158">
        <v>14312351</v>
      </c>
    </row>
    <row r="159" spans="2:34">
      <c r="B159" t="s">
        <v>345</v>
      </c>
      <c r="C159" t="s">
        <v>668</v>
      </c>
      <c r="D159" s="3">
        <v>42860.332638888889</v>
      </c>
      <c r="F159">
        <v>2017</v>
      </c>
      <c r="G159" t="s">
        <v>578</v>
      </c>
      <c r="H159" t="s">
        <v>352</v>
      </c>
      <c r="J159">
        <v>0</v>
      </c>
      <c r="L159">
        <v>1</v>
      </c>
      <c r="M159">
        <v>200</v>
      </c>
      <c r="N159">
        <v>68</v>
      </c>
      <c r="O159" t="s">
        <v>575</v>
      </c>
      <c r="Q159" t="s">
        <v>576</v>
      </c>
      <c r="R159" t="s">
        <v>670</v>
      </c>
      <c r="U159">
        <v>8</v>
      </c>
      <c r="V159">
        <v>8</v>
      </c>
      <c r="W159" t="s">
        <v>350</v>
      </c>
      <c r="X159" t="s">
        <v>349</v>
      </c>
      <c r="Y159" t="s">
        <v>580</v>
      </c>
      <c r="Z159">
        <v>2017</v>
      </c>
      <c r="AB159">
        <v>13</v>
      </c>
      <c r="AC159">
        <v>7.04</v>
      </c>
      <c r="AE159" t="s">
        <v>346</v>
      </c>
      <c r="AF159">
        <v>46.142674</v>
      </c>
      <c r="AG159">
        <v>-115.598088</v>
      </c>
      <c r="AH159">
        <v>14312352</v>
      </c>
    </row>
    <row r="160" spans="2:34">
      <c r="B160" t="s">
        <v>345</v>
      </c>
      <c r="C160" t="s">
        <v>668</v>
      </c>
      <c r="D160" s="3">
        <v>42860.332638888889</v>
      </c>
      <c r="F160">
        <v>2017</v>
      </c>
      <c r="G160" t="s">
        <v>578</v>
      </c>
      <c r="H160" t="s">
        <v>352</v>
      </c>
      <c r="J160">
        <v>0</v>
      </c>
      <c r="L160">
        <v>1</v>
      </c>
      <c r="M160">
        <v>192</v>
      </c>
      <c r="N160">
        <v>62</v>
      </c>
      <c r="O160" t="s">
        <v>575</v>
      </c>
      <c r="Q160" t="s">
        <v>673</v>
      </c>
      <c r="R160" t="s">
        <v>670</v>
      </c>
      <c r="U160">
        <v>8</v>
      </c>
      <c r="V160">
        <v>8</v>
      </c>
      <c r="W160" t="s">
        <v>350</v>
      </c>
      <c r="X160" t="s">
        <v>349</v>
      </c>
      <c r="Y160" t="s">
        <v>580</v>
      </c>
      <c r="Z160">
        <v>2017</v>
      </c>
      <c r="AB160">
        <v>13</v>
      </c>
      <c r="AC160">
        <v>7.04</v>
      </c>
      <c r="AE160" t="s">
        <v>346</v>
      </c>
      <c r="AF160">
        <v>46.142674</v>
      </c>
      <c r="AG160">
        <v>-115.598088</v>
      </c>
      <c r="AH160">
        <v>14312353</v>
      </c>
    </row>
    <row r="161" spans="2:34">
      <c r="B161" t="s">
        <v>345</v>
      </c>
      <c r="C161" t="s">
        <v>668</v>
      </c>
      <c r="D161" s="3">
        <v>42860.332638888889</v>
      </c>
      <c r="F161">
        <v>2017</v>
      </c>
      <c r="G161" t="s">
        <v>578</v>
      </c>
      <c r="H161" t="s">
        <v>352</v>
      </c>
      <c r="J161">
        <v>0</v>
      </c>
      <c r="L161">
        <v>1</v>
      </c>
      <c r="M161">
        <v>156</v>
      </c>
      <c r="N161">
        <v>36</v>
      </c>
      <c r="O161" t="s">
        <v>575</v>
      </c>
      <c r="Q161" t="s">
        <v>674</v>
      </c>
      <c r="R161" t="s">
        <v>670</v>
      </c>
      <c r="U161">
        <v>8</v>
      </c>
      <c r="V161">
        <v>8</v>
      </c>
      <c r="W161" t="s">
        <v>350</v>
      </c>
      <c r="X161" t="s">
        <v>349</v>
      </c>
      <c r="Y161" t="s">
        <v>580</v>
      </c>
      <c r="Z161">
        <v>2017</v>
      </c>
      <c r="AB161">
        <v>13</v>
      </c>
      <c r="AC161">
        <v>7.04</v>
      </c>
      <c r="AE161" t="s">
        <v>346</v>
      </c>
      <c r="AF161">
        <v>46.142674</v>
      </c>
      <c r="AG161">
        <v>-115.598088</v>
      </c>
      <c r="AH161">
        <v>14312354</v>
      </c>
    </row>
    <row r="162" spans="2:34">
      <c r="B162" t="s">
        <v>345</v>
      </c>
      <c r="C162" t="s">
        <v>668</v>
      </c>
      <c r="D162" s="3">
        <v>42860.332638888889</v>
      </c>
      <c r="F162">
        <v>2017</v>
      </c>
      <c r="G162" t="s">
        <v>351</v>
      </c>
      <c r="H162" t="s">
        <v>352</v>
      </c>
      <c r="J162">
        <v>0</v>
      </c>
      <c r="L162">
        <v>1</v>
      </c>
      <c r="M162">
        <v>102</v>
      </c>
      <c r="N162">
        <v>1</v>
      </c>
      <c r="O162" t="s">
        <v>353</v>
      </c>
      <c r="R162" t="s">
        <v>670</v>
      </c>
      <c r="U162">
        <v>8</v>
      </c>
      <c r="V162">
        <v>8</v>
      </c>
      <c r="W162" t="s">
        <v>350</v>
      </c>
      <c r="X162" t="s">
        <v>349</v>
      </c>
      <c r="Y162" t="s">
        <v>580</v>
      </c>
      <c r="Z162">
        <v>2017</v>
      </c>
      <c r="AB162">
        <v>13</v>
      </c>
      <c r="AC162">
        <v>7.04</v>
      </c>
      <c r="AE162" t="s">
        <v>346</v>
      </c>
      <c r="AF162">
        <v>46.142674</v>
      </c>
      <c r="AG162">
        <v>-115.598088</v>
      </c>
      <c r="AH162">
        <v>14312355</v>
      </c>
    </row>
    <row r="163" spans="2:34">
      <c r="B163" t="s">
        <v>345</v>
      </c>
      <c r="C163" t="s">
        <v>668</v>
      </c>
      <c r="D163" s="3">
        <v>42860.332638888889</v>
      </c>
      <c r="F163">
        <v>2017</v>
      </c>
      <c r="G163" t="s">
        <v>578</v>
      </c>
      <c r="H163" t="s">
        <v>352</v>
      </c>
      <c r="J163">
        <v>0</v>
      </c>
      <c r="L163">
        <v>1</v>
      </c>
      <c r="M163">
        <v>153</v>
      </c>
      <c r="N163">
        <v>36</v>
      </c>
      <c r="O163" t="s">
        <v>575</v>
      </c>
      <c r="Q163" t="s">
        <v>576</v>
      </c>
      <c r="R163" t="s">
        <v>670</v>
      </c>
      <c r="U163">
        <v>8</v>
      </c>
      <c r="V163">
        <v>8</v>
      </c>
      <c r="W163" t="s">
        <v>350</v>
      </c>
      <c r="X163" t="s">
        <v>349</v>
      </c>
      <c r="Y163" t="s">
        <v>580</v>
      </c>
      <c r="Z163">
        <v>2017</v>
      </c>
      <c r="AB163">
        <v>13</v>
      </c>
      <c r="AC163">
        <v>7.04</v>
      </c>
      <c r="AE163" t="s">
        <v>346</v>
      </c>
      <c r="AF163">
        <v>46.142674</v>
      </c>
      <c r="AG163">
        <v>-115.598088</v>
      </c>
      <c r="AH163">
        <v>14312356</v>
      </c>
    </row>
    <row r="164" spans="2:34">
      <c r="B164" t="s">
        <v>345</v>
      </c>
      <c r="C164" t="s">
        <v>668</v>
      </c>
      <c r="D164" s="3">
        <v>42860.332638888889</v>
      </c>
      <c r="F164">
        <v>2017</v>
      </c>
      <c r="G164" t="s">
        <v>578</v>
      </c>
      <c r="H164" t="s">
        <v>352</v>
      </c>
      <c r="J164">
        <v>0</v>
      </c>
      <c r="L164">
        <v>1</v>
      </c>
      <c r="M164">
        <v>146</v>
      </c>
      <c r="N164">
        <v>32</v>
      </c>
      <c r="O164" t="s">
        <v>575</v>
      </c>
      <c r="Q164" t="s">
        <v>675</v>
      </c>
      <c r="R164" t="s">
        <v>670</v>
      </c>
      <c r="U164">
        <v>8</v>
      </c>
      <c r="V164">
        <v>8</v>
      </c>
      <c r="W164" t="s">
        <v>350</v>
      </c>
      <c r="X164" t="s">
        <v>349</v>
      </c>
      <c r="Y164" t="s">
        <v>580</v>
      </c>
      <c r="Z164">
        <v>2017</v>
      </c>
      <c r="AB164">
        <v>13</v>
      </c>
      <c r="AC164">
        <v>7.04</v>
      </c>
      <c r="AE164" t="s">
        <v>346</v>
      </c>
      <c r="AF164">
        <v>46.142674</v>
      </c>
      <c r="AG164">
        <v>-115.598088</v>
      </c>
      <c r="AH164">
        <v>14312357</v>
      </c>
    </row>
    <row r="165" spans="2:34">
      <c r="B165" t="s">
        <v>345</v>
      </c>
      <c r="C165" t="s">
        <v>668</v>
      </c>
      <c r="D165" s="3">
        <v>42860.332638888889</v>
      </c>
      <c r="F165">
        <v>2017</v>
      </c>
      <c r="G165" t="s">
        <v>578</v>
      </c>
      <c r="H165" t="s">
        <v>352</v>
      </c>
      <c r="J165">
        <v>0</v>
      </c>
      <c r="L165">
        <v>1</v>
      </c>
      <c r="M165">
        <v>194</v>
      </c>
      <c r="N165">
        <v>69</v>
      </c>
      <c r="O165" t="s">
        <v>575</v>
      </c>
      <c r="Q165" t="s">
        <v>576</v>
      </c>
      <c r="R165" t="s">
        <v>670</v>
      </c>
      <c r="U165">
        <v>8</v>
      </c>
      <c r="V165">
        <v>8</v>
      </c>
      <c r="W165" t="s">
        <v>350</v>
      </c>
      <c r="X165" t="s">
        <v>349</v>
      </c>
      <c r="Y165" t="s">
        <v>580</v>
      </c>
      <c r="Z165">
        <v>2017</v>
      </c>
      <c r="AB165">
        <v>13</v>
      </c>
      <c r="AC165">
        <v>7.04</v>
      </c>
      <c r="AE165" t="s">
        <v>346</v>
      </c>
      <c r="AF165">
        <v>46.142674</v>
      </c>
      <c r="AG165">
        <v>-115.598088</v>
      </c>
      <c r="AH165">
        <v>14312358</v>
      </c>
    </row>
    <row r="166" spans="2:34">
      <c r="B166" t="s">
        <v>345</v>
      </c>
      <c r="C166" t="s">
        <v>668</v>
      </c>
      <c r="D166" s="3">
        <v>42860.332638888889</v>
      </c>
      <c r="F166">
        <v>2017</v>
      </c>
      <c r="G166" t="s">
        <v>578</v>
      </c>
      <c r="H166" t="s">
        <v>352</v>
      </c>
      <c r="J166">
        <v>0</v>
      </c>
      <c r="L166">
        <v>1</v>
      </c>
      <c r="M166">
        <v>152</v>
      </c>
      <c r="N166">
        <v>33</v>
      </c>
      <c r="O166" t="s">
        <v>575</v>
      </c>
      <c r="Q166" t="s">
        <v>576</v>
      </c>
      <c r="R166" t="s">
        <v>670</v>
      </c>
      <c r="U166">
        <v>8</v>
      </c>
      <c r="V166">
        <v>8</v>
      </c>
      <c r="W166" t="s">
        <v>350</v>
      </c>
      <c r="X166" t="s">
        <v>349</v>
      </c>
      <c r="Y166" t="s">
        <v>580</v>
      </c>
      <c r="Z166">
        <v>2017</v>
      </c>
      <c r="AB166">
        <v>13</v>
      </c>
      <c r="AC166">
        <v>7.04</v>
      </c>
      <c r="AE166" t="s">
        <v>346</v>
      </c>
      <c r="AF166">
        <v>46.142674</v>
      </c>
      <c r="AG166">
        <v>-115.598088</v>
      </c>
      <c r="AH166">
        <v>14312359</v>
      </c>
    </row>
    <row r="167" spans="2:34">
      <c r="B167" t="s">
        <v>345</v>
      </c>
      <c r="C167" t="s">
        <v>668</v>
      </c>
      <c r="D167" s="3">
        <v>42860.332638888889</v>
      </c>
      <c r="F167">
        <v>2017</v>
      </c>
      <c r="G167" t="s">
        <v>578</v>
      </c>
      <c r="H167" t="s">
        <v>352</v>
      </c>
      <c r="J167">
        <v>0</v>
      </c>
      <c r="L167">
        <v>1</v>
      </c>
      <c r="M167">
        <v>146</v>
      </c>
      <c r="N167">
        <v>31</v>
      </c>
      <c r="O167" t="s">
        <v>575</v>
      </c>
      <c r="Q167" t="s">
        <v>576</v>
      </c>
      <c r="R167" t="s">
        <v>670</v>
      </c>
      <c r="U167">
        <v>8</v>
      </c>
      <c r="V167">
        <v>8</v>
      </c>
      <c r="W167" t="s">
        <v>350</v>
      </c>
      <c r="X167" t="s">
        <v>349</v>
      </c>
      <c r="Y167" t="s">
        <v>580</v>
      </c>
      <c r="Z167">
        <v>2017</v>
      </c>
      <c r="AB167">
        <v>13</v>
      </c>
      <c r="AC167">
        <v>7.04</v>
      </c>
      <c r="AE167" t="s">
        <v>346</v>
      </c>
      <c r="AF167">
        <v>46.142674</v>
      </c>
      <c r="AG167">
        <v>-115.598088</v>
      </c>
      <c r="AH167">
        <v>14312360</v>
      </c>
    </row>
    <row r="168" spans="2:34">
      <c r="B168" t="s">
        <v>345</v>
      </c>
      <c r="C168" t="s">
        <v>668</v>
      </c>
      <c r="D168" s="3">
        <v>42860.332638888889</v>
      </c>
      <c r="F168">
        <v>2017</v>
      </c>
      <c r="G168" t="s">
        <v>578</v>
      </c>
      <c r="H168" t="s">
        <v>352</v>
      </c>
      <c r="J168">
        <v>0</v>
      </c>
      <c r="L168">
        <v>1</v>
      </c>
      <c r="M168">
        <v>202</v>
      </c>
      <c r="N168">
        <v>86</v>
      </c>
      <c r="O168" t="s">
        <v>575</v>
      </c>
      <c r="Q168" t="s">
        <v>676</v>
      </c>
      <c r="R168" t="s">
        <v>670</v>
      </c>
      <c r="U168">
        <v>8</v>
      </c>
      <c r="V168">
        <v>8</v>
      </c>
      <c r="W168" t="s">
        <v>350</v>
      </c>
      <c r="X168" t="s">
        <v>349</v>
      </c>
      <c r="Y168" t="s">
        <v>580</v>
      </c>
      <c r="Z168">
        <v>2017</v>
      </c>
      <c r="AB168">
        <v>13</v>
      </c>
      <c r="AC168">
        <v>7.04</v>
      </c>
      <c r="AE168" t="s">
        <v>346</v>
      </c>
      <c r="AF168">
        <v>46.142674</v>
      </c>
      <c r="AG168">
        <v>-115.598088</v>
      </c>
      <c r="AH168">
        <v>14312361</v>
      </c>
    </row>
    <row r="169" spans="2:34">
      <c r="B169" t="s">
        <v>345</v>
      </c>
      <c r="C169" t="s">
        <v>668</v>
      </c>
      <c r="D169" s="3">
        <v>42860.332638888889</v>
      </c>
      <c r="F169">
        <v>2017</v>
      </c>
      <c r="G169" t="s">
        <v>578</v>
      </c>
      <c r="H169" t="s">
        <v>352</v>
      </c>
      <c r="J169">
        <v>0</v>
      </c>
      <c r="L169">
        <v>1</v>
      </c>
      <c r="M169">
        <v>179</v>
      </c>
      <c r="N169">
        <v>48</v>
      </c>
      <c r="O169" t="s">
        <v>575</v>
      </c>
      <c r="Q169" t="s">
        <v>576</v>
      </c>
      <c r="R169" t="s">
        <v>670</v>
      </c>
      <c r="U169">
        <v>8</v>
      </c>
      <c r="V169">
        <v>8</v>
      </c>
      <c r="W169" t="s">
        <v>350</v>
      </c>
      <c r="X169" t="s">
        <v>349</v>
      </c>
      <c r="Y169" t="s">
        <v>580</v>
      </c>
      <c r="Z169">
        <v>2017</v>
      </c>
      <c r="AB169">
        <v>13</v>
      </c>
      <c r="AC169">
        <v>7.04</v>
      </c>
      <c r="AE169" t="s">
        <v>346</v>
      </c>
      <c r="AF169">
        <v>46.142674</v>
      </c>
      <c r="AG169">
        <v>-115.598088</v>
      </c>
      <c r="AH169">
        <v>14312362</v>
      </c>
    </row>
    <row r="170" spans="2:34">
      <c r="B170" t="s">
        <v>345</v>
      </c>
      <c r="C170" t="s">
        <v>668</v>
      </c>
      <c r="D170" s="3">
        <v>42860.332638888889</v>
      </c>
      <c r="F170">
        <v>2017</v>
      </c>
      <c r="G170" t="s">
        <v>578</v>
      </c>
      <c r="H170" t="s">
        <v>352</v>
      </c>
      <c r="J170">
        <v>0</v>
      </c>
      <c r="L170">
        <v>1</v>
      </c>
      <c r="M170">
        <v>194</v>
      </c>
      <c r="N170">
        <v>75</v>
      </c>
      <c r="O170" t="s">
        <v>575</v>
      </c>
      <c r="Q170" t="s">
        <v>576</v>
      </c>
      <c r="R170" t="s">
        <v>670</v>
      </c>
      <c r="U170">
        <v>8</v>
      </c>
      <c r="V170">
        <v>8</v>
      </c>
      <c r="W170" t="s">
        <v>350</v>
      </c>
      <c r="X170" t="s">
        <v>349</v>
      </c>
      <c r="Y170" t="s">
        <v>580</v>
      </c>
      <c r="Z170">
        <v>2017</v>
      </c>
      <c r="AB170">
        <v>13</v>
      </c>
      <c r="AC170">
        <v>7.04</v>
      </c>
      <c r="AE170" t="s">
        <v>346</v>
      </c>
      <c r="AF170">
        <v>46.142674</v>
      </c>
      <c r="AG170">
        <v>-115.598088</v>
      </c>
      <c r="AH170">
        <v>14312363</v>
      </c>
    </row>
    <row r="171" spans="2:34">
      <c r="B171" t="s">
        <v>345</v>
      </c>
      <c r="C171" t="s">
        <v>668</v>
      </c>
      <c r="D171" s="3">
        <v>42860.332638888889</v>
      </c>
      <c r="F171">
        <v>2017</v>
      </c>
      <c r="G171" t="s">
        <v>578</v>
      </c>
      <c r="H171" t="s">
        <v>352</v>
      </c>
      <c r="J171">
        <v>0</v>
      </c>
      <c r="L171">
        <v>1</v>
      </c>
      <c r="M171">
        <v>174</v>
      </c>
      <c r="N171">
        <v>48</v>
      </c>
      <c r="O171" t="s">
        <v>575</v>
      </c>
      <c r="Q171" t="s">
        <v>677</v>
      </c>
      <c r="R171" t="s">
        <v>670</v>
      </c>
      <c r="U171">
        <v>8</v>
      </c>
      <c r="V171">
        <v>8</v>
      </c>
      <c r="W171" t="s">
        <v>350</v>
      </c>
      <c r="X171" t="s">
        <v>349</v>
      </c>
      <c r="Y171" t="s">
        <v>580</v>
      </c>
      <c r="Z171">
        <v>2017</v>
      </c>
      <c r="AB171">
        <v>13</v>
      </c>
      <c r="AC171">
        <v>7.04</v>
      </c>
      <c r="AE171" t="s">
        <v>346</v>
      </c>
      <c r="AF171">
        <v>46.142674</v>
      </c>
      <c r="AG171">
        <v>-115.598088</v>
      </c>
      <c r="AH171">
        <v>14312364</v>
      </c>
    </row>
    <row r="172" spans="2:34">
      <c r="B172" t="s">
        <v>345</v>
      </c>
      <c r="C172" t="s">
        <v>668</v>
      </c>
      <c r="D172" s="3">
        <v>42860.332638888889</v>
      </c>
      <c r="F172">
        <v>2017</v>
      </c>
      <c r="G172" t="s">
        <v>578</v>
      </c>
      <c r="H172" t="s">
        <v>352</v>
      </c>
      <c r="J172">
        <v>0</v>
      </c>
      <c r="L172">
        <v>1</v>
      </c>
      <c r="M172">
        <v>166</v>
      </c>
      <c r="N172">
        <v>44</v>
      </c>
      <c r="O172" t="s">
        <v>575</v>
      </c>
      <c r="Q172" t="s">
        <v>576</v>
      </c>
      <c r="R172" t="s">
        <v>670</v>
      </c>
      <c r="U172">
        <v>8</v>
      </c>
      <c r="V172">
        <v>8</v>
      </c>
      <c r="W172" t="s">
        <v>350</v>
      </c>
      <c r="X172" t="s">
        <v>349</v>
      </c>
      <c r="Y172" t="s">
        <v>580</v>
      </c>
      <c r="Z172">
        <v>2017</v>
      </c>
      <c r="AB172">
        <v>13</v>
      </c>
      <c r="AC172">
        <v>7.04</v>
      </c>
      <c r="AE172" t="s">
        <v>346</v>
      </c>
      <c r="AF172">
        <v>46.142674</v>
      </c>
      <c r="AG172">
        <v>-115.598088</v>
      </c>
      <c r="AH172">
        <v>14312365</v>
      </c>
    </row>
    <row r="173" spans="2:34">
      <c r="B173" t="s">
        <v>345</v>
      </c>
      <c r="C173" t="s">
        <v>668</v>
      </c>
      <c r="D173" s="3">
        <v>42860.332638888889</v>
      </c>
      <c r="F173">
        <v>2017</v>
      </c>
      <c r="G173" t="s">
        <v>578</v>
      </c>
      <c r="H173" t="s">
        <v>352</v>
      </c>
      <c r="J173">
        <v>0</v>
      </c>
      <c r="L173">
        <v>1</v>
      </c>
      <c r="M173">
        <v>171</v>
      </c>
      <c r="N173">
        <v>39</v>
      </c>
      <c r="O173" t="s">
        <v>575</v>
      </c>
      <c r="Q173" t="s">
        <v>576</v>
      </c>
      <c r="R173" t="s">
        <v>670</v>
      </c>
      <c r="U173">
        <v>8</v>
      </c>
      <c r="V173">
        <v>8</v>
      </c>
      <c r="W173" t="s">
        <v>350</v>
      </c>
      <c r="X173" t="s">
        <v>349</v>
      </c>
      <c r="Y173" t="s">
        <v>580</v>
      </c>
      <c r="Z173">
        <v>2017</v>
      </c>
      <c r="AB173">
        <v>13</v>
      </c>
      <c r="AC173">
        <v>7.04</v>
      </c>
      <c r="AE173" t="s">
        <v>346</v>
      </c>
      <c r="AF173">
        <v>46.142674</v>
      </c>
      <c r="AG173">
        <v>-115.598088</v>
      </c>
      <c r="AH173">
        <v>14312366</v>
      </c>
    </row>
    <row r="174" spans="2:34">
      <c r="B174" t="s">
        <v>345</v>
      </c>
      <c r="C174" t="s">
        <v>668</v>
      </c>
      <c r="D174" s="3">
        <v>42860.332638888889</v>
      </c>
      <c r="F174">
        <v>2017</v>
      </c>
      <c r="G174" t="s">
        <v>578</v>
      </c>
      <c r="H174" t="s">
        <v>352</v>
      </c>
      <c r="J174">
        <v>0</v>
      </c>
      <c r="L174">
        <v>1</v>
      </c>
      <c r="M174">
        <v>148</v>
      </c>
      <c r="N174">
        <v>29</v>
      </c>
      <c r="O174" t="s">
        <v>575</v>
      </c>
      <c r="Q174" t="s">
        <v>678</v>
      </c>
      <c r="R174" t="s">
        <v>670</v>
      </c>
      <c r="U174">
        <v>8</v>
      </c>
      <c r="V174">
        <v>8</v>
      </c>
      <c r="W174" t="s">
        <v>350</v>
      </c>
      <c r="X174" t="s">
        <v>349</v>
      </c>
      <c r="Y174" t="s">
        <v>580</v>
      </c>
      <c r="Z174">
        <v>2017</v>
      </c>
      <c r="AB174">
        <v>13</v>
      </c>
      <c r="AC174">
        <v>7.04</v>
      </c>
      <c r="AE174" t="s">
        <v>346</v>
      </c>
      <c r="AF174">
        <v>46.142674</v>
      </c>
      <c r="AG174">
        <v>-115.598088</v>
      </c>
      <c r="AH174">
        <v>14312367</v>
      </c>
    </row>
    <row r="175" spans="2:34">
      <c r="B175" t="s">
        <v>345</v>
      </c>
      <c r="C175" t="s">
        <v>668</v>
      </c>
      <c r="D175" s="3">
        <v>42860.332638888889</v>
      </c>
      <c r="F175">
        <v>2017</v>
      </c>
      <c r="G175" t="s">
        <v>578</v>
      </c>
      <c r="H175" t="s">
        <v>352</v>
      </c>
      <c r="J175">
        <v>0</v>
      </c>
      <c r="L175">
        <v>1</v>
      </c>
      <c r="M175">
        <v>180</v>
      </c>
      <c r="N175">
        <v>51</v>
      </c>
      <c r="O175" t="s">
        <v>575</v>
      </c>
      <c r="Q175" t="s">
        <v>576</v>
      </c>
      <c r="R175" t="s">
        <v>670</v>
      </c>
      <c r="U175">
        <v>8</v>
      </c>
      <c r="V175">
        <v>8</v>
      </c>
      <c r="W175" t="s">
        <v>350</v>
      </c>
      <c r="X175" t="s">
        <v>349</v>
      </c>
      <c r="Y175" t="s">
        <v>580</v>
      </c>
      <c r="Z175">
        <v>2017</v>
      </c>
      <c r="AB175">
        <v>13</v>
      </c>
      <c r="AC175">
        <v>7.04</v>
      </c>
      <c r="AE175" t="s">
        <v>346</v>
      </c>
      <c r="AF175">
        <v>46.142674</v>
      </c>
      <c r="AG175">
        <v>-115.598088</v>
      </c>
      <c r="AH175">
        <v>14312368</v>
      </c>
    </row>
    <row r="176" spans="2:34">
      <c r="B176" t="s">
        <v>345</v>
      </c>
      <c r="C176" t="s">
        <v>668</v>
      </c>
      <c r="D176" s="3">
        <v>42860.332638888889</v>
      </c>
      <c r="F176">
        <v>2017</v>
      </c>
      <c r="G176" t="s">
        <v>578</v>
      </c>
      <c r="H176" t="s">
        <v>352</v>
      </c>
      <c r="J176">
        <v>0</v>
      </c>
      <c r="L176">
        <v>1</v>
      </c>
      <c r="M176">
        <v>176</v>
      </c>
      <c r="N176">
        <v>49</v>
      </c>
      <c r="O176" t="s">
        <v>575</v>
      </c>
      <c r="Q176" t="s">
        <v>576</v>
      </c>
      <c r="R176" t="s">
        <v>670</v>
      </c>
      <c r="U176">
        <v>8</v>
      </c>
      <c r="V176">
        <v>8</v>
      </c>
      <c r="W176" t="s">
        <v>350</v>
      </c>
      <c r="X176" t="s">
        <v>349</v>
      </c>
      <c r="Y176" t="s">
        <v>580</v>
      </c>
      <c r="Z176">
        <v>2017</v>
      </c>
      <c r="AB176">
        <v>13</v>
      </c>
      <c r="AC176">
        <v>7.04</v>
      </c>
      <c r="AE176" t="s">
        <v>346</v>
      </c>
      <c r="AF176">
        <v>46.142674</v>
      </c>
      <c r="AG176">
        <v>-115.598088</v>
      </c>
      <c r="AH176">
        <v>14312369</v>
      </c>
    </row>
    <row r="177" spans="2:34">
      <c r="B177" t="s">
        <v>345</v>
      </c>
      <c r="C177" t="s">
        <v>668</v>
      </c>
      <c r="D177" s="3">
        <v>42860.332638888889</v>
      </c>
      <c r="F177">
        <v>2017</v>
      </c>
      <c r="G177" t="s">
        <v>578</v>
      </c>
      <c r="H177" t="s">
        <v>352</v>
      </c>
      <c r="J177">
        <v>0</v>
      </c>
      <c r="L177">
        <v>1</v>
      </c>
      <c r="M177">
        <v>164</v>
      </c>
      <c r="N177">
        <v>42</v>
      </c>
      <c r="O177" t="s">
        <v>575</v>
      </c>
      <c r="Q177" t="s">
        <v>576</v>
      </c>
      <c r="R177" t="s">
        <v>670</v>
      </c>
      <c r="U177">
        <v>8</v>
      </c>
      <c r="V177">
        <v>8</v>
      </c>
      <c r="W177" t="s">
        <v>350</v>
      </c>
      <c r="X177" t="s">
        <v>349</v>
      </c>
      <c r="Y177" t="s">
        <v>580</v>
      </c>
      <c r="Z177">
        <v>2017</v>
      </c>
      <c r="AB177">
        <v>13</v>
      </c>
      <c r="AC177">
        <v>7.04</v>
      </c>
      <c r="AE177" t="s">
        <v>346</v>
      </c>
      <c r="AF177">
        <v>46.142674</v>
      </c>
      <c r="AG177">
        <v>-115.598088</v>
      </c>
      <c r="AH177">
        <v>14312370</v>
      </c>
    </row>
    <row r="178" spans="2:34">
      <c r="B178" t="s">
        <v>345</v>
      </c>
      <c r="C178" t="s">
        <v>668</v>
      </c>
      <c r="D178" s="3">
        <v>42860.332638888889</v>
      </c>
      <c r="F178">
        <v>2017</v>
      </c>
      <c r="G178" t="s">
        <v>602</v>
      </c>
      <c r="H178" t="s">
        <v>352</v>
      </c>
      <c r="J178">
        <v>0</v>
      </c>
      <c r="L178">
        <v>1</v>
      </c>
      <c r="M178">
        <v>190</v>
      </c>
      <c r="N178">
        <v>86</v>
      </c>
      <c r="O178" t="s">
        <v>353</v>
      </c>
      <c r="R178" t="s">
        <v>670</v>
      </c>
      <c r="U178">
        <v>8</v>
      </c>
      <c r="V178">
        <v>8</v>
      </c>
      <c r="W178" t="s">
        <v>350</v>
      </c>
      <c r="X178" t="s">
        <v>349</v>
      </c>
      <c r="Y178" t="s">
        <v>580</v>
      </c>
      <c r="Z178">
        <v>2017</v>
      </c>
      <c r="AB178">
        <v>13</v>
      </c>
      <c r="AC178">
        <v>7.04</v>
      </c>
      <c r="AE178" t="s">
        <v>346</v>
      </c>
      <c r="AF178">
        <v>46.142674</v>
      </c>
      <c r="AG178">
        <v>-115.598088</v>
      </c>
      <c r="AH178">
        <v>14312371</v>
      </c>
    </row>
    <row r="179" spans="2:34">
      <c r="B179" t="s">
        <v>345</v>
      </c>
      <c r="C179" t="s">
        <v>668</v>
      </c>
      <c r="D179" s="3">
        <v>42860.332638888889</v>
      </c>
      <c r="F179">
        <v>2017</v>
      </c>
      <c r="G179" t="s">
        <v>578</v>
      </c>
      <c r="H179" t="s">
        <v>352</v>
      </c>
      <c r="J179">
        <v>0</v>
      </c>
      <c r="L179">
        <v>1</v>
      </c>
      <c r="M179">
        <v>165</v>
      </c>
      <c r="N179">
        <v>41</v>
      </c>
      <c r="O179" t="s">
        <v>575</v>
      </c>
      <c r="Q179" t="s">
        <v>576</v>
      </c>
      <c r="R179" t="s">
        <v>670</v>
      </c>
      <c r="U179">
        <v>8</v>
      </c>
      <c r="V179">
        <v>8</v>
      </c>
      <c r="W179" t="s">
        <v>350</v>
      </c>
      <c r="X179" t="s">
        <v>349</v>
      </c>
      <c r="Y179" t="s">
        <v>580</v>
      </c>
      <c r="Z179">
        <v>2017</v>
      </c>
      <c r="AB179">
        <v>13</v>
      </c>
      <c r="AC179">
        <v>7.04</v>
      </c>
      <c r="AE179" t="s">
        <v>346</v>
      </c>
      <c r="AF179">
        <v>46.142674</v>
      </c>
      <c r="AG179">
        <v>-115.598088</v>
      </c>
      <c r="AH179">
        <v>14312372</v>
      </c>
    </row>
    <row r="180" spans="2:34">
      <c r="B180" t="s">
        <v>345</v>
      </c>
      <c r="C180" t="s">
        <v>668</v>
      </c>
      <c r="D180" s="3">
        <v>42860.332638888889</v>
      </c>
      <c r="F180">
        <v>2017</v>
      </c>
      <c r="G180" t="s">
        <v>578</v>
      </c>
      <c r="H180" t="s">
        <v>352</v>
      </c>
      <c r="J180">
        <v>0</v>
      </c>
      <c r="L180">
        <v>1</v>
      </c>
      <c r="M180">
        <v>193</v>
      </c>
      <c r="N180">
        <v>72</v>
      </c>
      <c r="O180" t="s">
        <v>575</v>
      </c>
      <c r="Q180" t="s">
        <v>576</v>
      </c>
      <c r="R180" t="s">
        <v>670</v>
      </c>
      <c r="U180">
        <v>8</v>
      </c>
      <c r="V180">
        <v>8</v>
      </c>
      <c r="W180" t="s">
        <v>350</v>
      </c>
      <c r="X180" t="s">
        <v>349</v>
      </c>
      <c r="Y180" t="s">
        <v>580</v>
      </c>
      <c r="Z180">
        <v>2017</v>
      </c>
      <c r="AB180">
        <v>13</v>
      </c>
      <c r="AC180">
        <v>7.04</v>
      </c>
      <c r="AE180" t="s">
        <v>346</v>
      </c>
      <c r="AF180">
        <v>46.142674</v>
      </c>
      <c r="AG180">
        <v>-115.598088</v>
      </c>
      <c r="AH180">
        <v>14312373</v>
      </c>
    </row>
    <row r="181" spans="2:34">
      <c r="B181" t="s">
        <v>345</v>
      </c>
      <c r="C181" t="s">
        <v>668</v>
      </c>
      <c r="D181" s="3">
        <v>42860.332638888889</v>
      </c>
      <c r="F181">
        <v>2017</v>
      </c>
      <c r="G181" t="s">
        <v>578</v>
      </c>
      <c r="H181" t="s">
        <v>352</v>
      </c>
      <c r="J181">
        <v>0</v>
      </c>
      <c r="L181">
        <v>1</v>
      </c>
      <c r="M181">
        <v>212</v>
      </c>
      <c r="N181">
        <v>78</v>
      </c>
      <c r="O181" t="s">
        <v>575</v>
      </c>
      <c r="Q181" t="s">
        <v>576</v>
      </c>
      <c r="R181" t="s">
        <v>670</v>
      </c>
      <c r="U181">
        <v>8</v>
      </c>
      <c r="V181">
        <v>8</v>
      </c>
      <c r="W181" t="s">
        <v>350</v>
      </c>
      <c r="X181" t="s">
        <v>349</v>
      </c>
      <c r="Y181" t="s">
        <v>580</v>
      </c>
      <c r="Z181">
        <v>2017</v>
      </c>
      <c r="AB181">
        <v>13</v>
      </c>
      <c r="AC181">
        <v>7.04</v>
      </c>
      <c r="AE181" t="s">
        <v>346</v>
      </c>
      <c r="AF181">
        <v>46.142674</v>
      </c>
      <c r="AG181">
        <v>-115.598088</v>
      </c>
      <c r="AH181">
        <v>14312374</v>
      </c>
    </row>
    <row r="182" spans="2:34">
      <c r="B182" t="s">
        <v>345</v>
      </c>
      <c r="C182" t="s">
        <v>668</v>
      </c>
      <c r="D182" s="3">
        <v>42860.332638888889</v>
      </c>
      <c r="F182">
        <v>2017</v>
      </c>
      <c r="G182" t="s">
        <v>578</v>
      </c>
      <c r="H182" t="s">
        <v>352</v>
      </c>
      <c r="J182">
        <v>0</v>
      </c>
      <c r="L182">
        <v>1</v>
      </c>
      <c r="M182">
        <v>144</v>
      </c>
      <c r="N182">
        <v>26</v>
      </c>
      <c r="O182" t="s">
        <v>575</v>
      </c>
      <c r="Q182" t="s">
        <v>576</v>
      </c>
      <c r="R182" t="s">
        <v>670</v>
      </c>
      <c r="U182">
        <v>8</v>
      </c>
      <c r="V182">
        <v>8</v>
      </c>
      <c r="W182" t="s">
        <v>350</v>
      </c>
      <c r="X182" t="s">
        <v>349</v>
      </c>
      <c r="Y182" t="s">
        <v>580</v>
      </c>
      <c r="Z182">
        <v>2017</v>
      </c>
      <c r="AB182">
        <v>13</v>
      </c>
      <c r="AC182">
        <v>7.04</v>
      </c>
      <c r="AE182" t="s">
        <v>346</v>
      </c>
      <c r="AF182">
        <v>46.142674</v>
      </c>
      <c r="AG182">
        <v>-115.598088</v>
      </c>
      <c r="AH182">
        <v>14312375</v>
      </c>
    </row>
    <row r="183" spans="2:34">
      <c r="B183" t="s">
        <v>345</v>
      </c>
      <c r="C183" t="s">
        <v>668</v>
      </c>
      <c r="D183" s="3">
        <v>42860.332638888889</v>
      </c>
      <c r="F183">
        <v>2017</v>
      </c>
      <c r="G183" t="s">
        <v>578</v>
      </c>
      <c r="H183" t="s">
        <v>352</v>
      </c>
      <c r="J183">
        <v>0</v>
      </c>
      <c r="L183">
        <v>1</v>
      </c>
      <c r="M183">
        <v>189</v>
      </c>
      <c r="N183">
        <v>70</v>
      </c>
      <c r="O183" t="s">
        <v>575</v>
      </c>
      <c r="Q183" t="s">
        <v>576</v>
      </c>
      <c r="R183" t="s">
        <v>670</v>
      </c>
      <c r="U183">
        <v>8</v>
      </c>
      <c r="V183">
        <v>8</v>
      </c>
      <c r="W183" t="s">
        <v>350</v>
      </c>
      <c r="X183" t="s">
        <v>349</v>
      </c>
      <c r="Y183" t="s">
        <v>580</v>
      </c>
      <c r="Z183">
        <v>2017</v>
      </c>
      <c r="AB183">
        <v>13</v>
      </c>
      <c r="AC183">
        <v>7.04</v>
      </c>
      <c r="AE183" t="s">
        <v>346</v>
      </c>
      <c r="AF183">
        <v>46.142674</v>
      </c>
      <c r="AG183">
        <v>-115.598088</v>
      </c>
      <c r="AH183">
        <v>14312376</v>
      </c>
    </row>
    <row r="184" spans="2:34">
      <c r="B184" t="s">
        <v>345</v>
      </c>
      <c r="C184" t="s">
        <v>668</v>
      </c>
      <c r="D184" s="3">
        <v>42860.332638888889</v>
      </c>
      <c r="F184">
        <v>2017</v>
      </c>
      <c r="G184" t="s">
        <v>578</v>
      </c>
      <c r="H184" t="s">
        <v>352</v>
      </c>
      <c r="J184">
        <v>0</v>
      </c>
      <c r="L184">
        <v>1</v>
      </c>
      <c r="M184">
        <v>162</v>
      </c>
      <c r="N184">
        <v>41</v>
      </c>
      <c r="O184" t="s">
        <v>575</v>
      </c>
      <c r="Q184" t="s">
        <v>576</v>
      </c>
      <c r="R184" t="s">
        <v>670</v>
      </c>
      <c r="U184">
        <v>8</v>
      </c>
      <c r="V184">
        <v>8</v>
      </c>
      <c r="W184" t="s">
        <v>350</v>
      </c>
      <c r="X184" t="s">
        <v>349</v>
      </c>
      <c r="Y184" t="s">
        <v>580</v>
      </c>
      <c r="Z184">
        <v>2017</v>
      </c>
      <c r="AB184">
        <v>13</v>
      </c>
      <c r="AC184">
        <v>7.04</v>
      </c>
      <c r="AE184" t="s">
        <v>346</v>
      </c>
      <c r="AF184">
        <v>46.142674</v>
      </c>
      <c r="AG184">
        <v>-115.598088</v>
      </c>
      <c r="AH184">
        <v>14312377</v>
      </c>
    </row>
    <row r="185" spans="2:34">
      <c r="B185" t="s">
        <v>345</v>
      </c>
      <c r="C185" t="s">
        <v>668</v>
      </c>
      <c r="D185" s="3">
        <v>42860.332638888889</v>
      </c>
      <c r="F185">
        <v>2017</v>
      </c>
      <c r="G185" t="s">
        <v>574</v>
      </c>
      <c r="H185" t="s">
        <v>352</v>
      </c>
      <c r="J185">
        <v>0</v>
      </c>
      <c r="L185">
        <v>1</v>
      </c>
      <c r="M185">
        <v>96</v>
      </c>
      <c r="N185">
        <v>11</v>
      </c>
      <c r="O185" t="s">
        <v>575</v>
      </c>
      <c r="Q185" t="s">
        <v>576</v>
      </c>
      <c r="R185" t="s">
        <v>670</v>
      </c>
      <c r="U185">
        <v>8</v>
      </c>
      <c r="V185">
        <v>8</v>
      </c>
      <c r="W185" t="s">
        <v>350</v>
      </c>
      <c r="X185" t="s">
        <v>349</v>
      </c>
      <c r="Y185" t="s">
        <v>580</v>
      </c>
      <c r="Z185">
        <v>2017</v>
      </c>
      <c r="AB185">
        <v>13</v>
      </c>
      <c r="AC185">
        <v>7.04</v>
      </c>
      <c r="AE185" t="s">
        <v>346</v>
      </c>
      <c r="AF185">
        <v>46.142674</v>
      </c>
      <c r="AG185">
        <v>-115.598088</v>
      </c>
      <c r="AH185">
        <v>14312378</v>
      </c>
    </row>
    <row r="186" spans="2:34">
      <c r="B186" t="s">
        <v>345</v>
      </c>
      <c r="C186" t="s">
        <v>668</v>
      </c>
      <c r="D186" s="3">
        <v>42860.332638888889</v>
      </c>
      <c r="F186">
        <v>2017</v>
      </c>
      <c r="G186" t="s">
        <v>578</v>
      </c>
      <c r="H186" t="s">
        <v>352</v>
      </c>
      <c r="J186">
        <v>0</v>
      </c>
      <c r="L186">
        <v>1</v>
      </c>
      <c r="M186">
        <v>159</v>
      </c>
      <c r="N186">
        <v>39</v>
      </c>
      <c r="O186" t="s">
        <v>575</v>
      </c>
      <c r="Q186" t="s">
        <v>679</v>
      </c>
      <c r="R186" t="s">
        <v>670</v>
      </c>
      <c r="U186">
        <v>8</v>
      </c>
      <c r="V186">
        <v>8</v>
      </c>
      <c r="W186" t="s">
        <v>350</v>
      </c>
      <c r="X186" t="s">
        <v>349</v>
      </c>
      <c r="Y186" t="s">
        <v>580</v>
      </c>
      <c r="Z186">
        <v>2017</v>
      </c>
      <c r="AB186">
        <v>13</v>
      </c>
      <c r="AC186">
        <v>7.04</v>
      </c>
      <c r="AE186" t="s">
        <v>346</v>
      </c>
      <c r="AF186">
        <v>46.142674</v>
      </c>
      <c r="AG186">
        <v>-115.598088</v>
      </c>
      <c r="AH186">
        <v>14312379</v>
      </c>
    </row>
    <row r="187" spans="2:34">
      <c r="B187" t="s">
        <v>345</v>
      </c>
      <c r="C187" t="s">
        <v>668</v>
      </c>
      <c r="D187" s="3">
        <v>42860.332638888889</v>
      </c>
      <c r="F187">
        <v>2017</v>
      </c>
      <c r="G187" t="s">
        <v>578</v>
      </c>
      <c r="H187" t="s">
        <v>352</v>
      </c>
      <c r="J187">
        <v>0</v>
      </c>
      <c r="L187">
        <v>1</v>
      </c>
      <c r="M187">
        <v>171</v>
      </c>
      <c r="N187">
        <v>46</v>
      </c>
      <c r="O187" t="s">
        <v>575</v>
      </c>
      <c r="P187" t="s">
        <v>373</v>
      </c>
      <c r="Q187" t="s">
        <v>576</v>
      </c>
      <c r="R187" t="s">
        <v>670</v>
      </c>
      <c r="U187">
        <v>8</v>
      </c>
      <c r="V187">
        <v>8</v>
      </c>
      <c r="W187" t="s">
        <v>350</v>
      </c>
      <c r="X187" t="s">
        <v>349</v>
      </c>
      <c r="Y187" t="s">
        <v>580</v>
      </c>
      <c r="Z187">
        <v>2017</v>
      </c>
      <c r="AB187">
        <v>13</v>
      </c>
      <c r="AC187">
        <v>7.04</v>
      </c>
      <c r="AE187" t="s">
        <v>346</v>
      </c>
      <c r="AF187">
        <v>46.142674</v>
      </c>
      <c r="AG187">
        <v>-115.598088</v>
      </c>
      <c r="AH187">
        <v>14312380</v>
      </c>
    </row>
    <row r="188" spans="2:34">
      <c r="B188" t="s">
        <v>345</v>
      </c>
      <c r="C188" t="s">
        <v>668</v>
      </c>
      <c r="D188" s="3">
        <v>42860.332638888889</v>
      </c>
      <c r="F188">
        <v>2017</v>
      </c>
      <c r="G188" t="s">
        <v>578</v>
      </c>
      <c r="H188" t="s">
        <v>352</v>
      </c>
      <c r="J188">
        <v>0</v>
      </c>
      <c r="L188">
        <v>1</v>
      </c>
      <c r="M188">
        <v>146</v>
      </c>
      <c r="N188">
        <v>30</v>
      </c>
      <c r="O188" t="s">
        <v>575</v>
      </c>
      <c r="Q188" t="s">
        <v>576</v>
      </c>
      <c r="R188" t="s">
        <v>670</v>
      </c>
      <c r="U188">
        <v>8</v>
      </c>
      <c r="V188">
        <v>8</v>
      </c>
      <c r="W188" t="s">
        <v>350</v>
      </c>
      <c r="X188" t="s">
        <v>349</v>
      </c>
      <c r="Y188" t="s">
        <v>580</v>
      </c>
      <c r="Z188">
        <v>2017</v>
      </c>
      <c r="AB188">
        <v>13</v>
      </c>
      <c r="AC188">
        <v>7.04</v>
      </c>
      <c r="AE188" t="s">
        <v>346</v>
      </c>
      <c r="AF188">
        <v>46.142674</v>
      </c>
      <c r="AG188">
        <v>-115.598088</v>
      </c>
      <c r="AH188">
        <v>14312381</v>
      </c>
    </row>
    <row r="189" spans="2:34">
      <c r="B189" t="s">
        <v>345</v>
      </c>
      <c r="C189" t="s">
        <v>668</v>
      </c>
      <c r="D189" s="3">
        <v>42860.332638888889</v>
      </c>
      <c r="F189">
        <v>2017</v>
      </c>
      <c r="G189" t="s">
        <v>578</v>
      </c>
      <c r="H189" t="s">
        <v>352</v>
      </c>
      <c r="J189">
        <v>0</v>
      </c>
      <c r="L189">
        <v>1</v>
      </c>
      <c r="M189">
        <v>191</v>
      </c>
      <c r="N189">
        <v>68</v>
      </c>
      <c r="O189" t="s">
        <v>575</v>
      </c>
      <c r="Q189" t="s">
        <v>576</v>
      </c>
      <c r="R189" t="s">
        <v>670</v>
      </c>
      <c r="U189">
        <v>8</v>
      </c>
      <c r="V189">
        <v>8</v>
      </c>
      <c r="W189" t="s">
        <v>350</v>
      </c>
      <c r="X189" t="s">
        <v>349</v>
      </c>
      <c r="Y189" t="s">
        <v>580</v>
      </c>
      <c r="Z189">
        <v>2017</v>
      </c>
      <c r="AB189">
        <v>13</v>
      </c>
      <c r="AC189">
        <v>7.04</v>
      </c>
      <c r="AE189" t="s">
        <v>346</v>
      </c>
      <c r="AF189">
        <v>46.142674</v>
      </c>
      <c r="AG189">
        <v>-115.598088</v>
      </c>
      <c r="AH189">
        <v>14312382</v>
      </c>
    </row>
    <row r="190" spans="2:34">
      <c r="B190" t="s">
        <v>345</v>
      </c>
      <c r="C190" t="s">
        <v>668</v>
      </c>
      <c r="D190" s="3">
        <v>42860.332638888889</v>
      </c>
      <c r="F190">
        <v>2017</v>
      </c>
      <c r="G190" t="s">
        <v>578</v>
      </c>
      <c r="H190" t="s">
        <v>352</v>
      </c>
      <c r="J190">
        <v>0</v>
      </c>
      <c r="L190">
        <v>1</v>
      </c>
      <c r="M190">
        <v>166</v>
      </c>
      <c r="N190">
        <v>40</v>
      </c>
      <c r="O190" t="s">
        <v>575</v>
      </c>
      <c r="Q190" t="s">
        <v>576</v>
      </c>
      <c r="R190" t="s">
        <v>670</v>
      </c>
      <c r="U190">
        <v>8</v>
      </c>
      <c r="V190">
        <v>8</v>
      </c>
      <c r="W190" t="s">
        <v>350</v>
      </c>
      <c r="X190" t="s">
        <v>349</v>
      </c>
      <c r="Y190" t="s">
        <v>580</v>
      </c>
      <c r="Z190">
        <v>2017</v>
      </c>
      <c r="AB190">
        <v>13</v>
      </c>
      <c r="AC190">
        <v>7.04</v>
      </c>
      <c r="AE190" t="s">
        <v>346</v>
      </c>
      <c r="AF190">
        <v>46.142674</v>
      </c>
      <c r="AG190">
        <v>-115.598088</v>
      </c>
      <c r="AH190">
        <v>14312383</v>
      </c>
    </row>
    <row r="191" spans="2:34">
      <c r="B191" t="s">
        <v>345</v>
      </c>
      <c r="C191" t="s">
        <v>668</v>
      </c>
      <c r="D191" s="3">
        <v>42860.332638888889</v>
      </c>
      <c r="F191">
        <v>2017</v>
      </c>
      <c r="G191" t="s">
        <v>578</v>
      </c>
      <c r="H191" t="s">
        <v>352</v>
      </c>
      <c r="J191">
        <v>0</v>
      </c>
      <c r="L191">
        <v>1</v>
      </c>
      <c r="M191">
        <v>170</v>
      </c>
      <c r="N191">
        <v>45</v>
      </c>
      <c r="O191" t="s">
        <v>575</v>
      </c>
      <c r="P191" t="s">
        <v>680</v>
      </c>
      <c r="Q191" t="s">
        <v>576</v>
      </c>
      <c r="R191" t="s">
        <v>670</v>
      </c>
      <c r="U191">
        <v>8</v>
      </c>
      <c r="V191">
        <v>8</v>
      </c>
      <c r="W191" t="s">
        <v>350</v>
      </c>
      <c r="X191" t="s">
        <v>349</v>
      </c>
      <c r="Y191" t="s">
        <v>580</v>
      </c>
      <c r="Z191">
        <v>2017</v>
      </c>
      <c r="AB191">
        <v>13</v>
      </c>
      <c r="AC191">
        <v>7.04</v>
      </c>
      <c r="AE191" t="s">
        <v>346</v>
      </c>
      <c r="AF191">
        <v>46.142674</v>
      </c>
      <c r="AG191">
        <v>-115.598088</v>
      </c>
      <c r="AH191">
        <v>14312384</v>
      </c>
    </row>
    <row r="192" spans="2:34">
      <c r="B192" t="s">
        <v>345</v>
      </c>
      <c r="C192" t="s">
        <v>668</v>
      </c>
      <c r="D192" s="3">
        <v>42860.332638888889</v>
      </c>
      <c r="F192">
        <v>2017</v>
      </c>
      <c r="G192" t="s">
        <v>578</v>
      </c>
      <c r="H192" t="s">
        <v>352</v>
      </c>
      <c r="J192">
        <v>0</v>
      </c>
      <c r="L192">
        <v>1</v>
      </c>
      <c r="M192">
        <v>149</v>
      </c>
      <c r="N192">
        <v>28</v>
      </c>
      <c r="O192" t="s">
        <v>681</v>
      </c>
      <c r="P192" t="s">
        <v>682</v>
      </c>
      <c r="Q192" t="s">
        <v>683</v>
      </c>
      <c r="R192" t="s">
        <v>670</v>
      </c>
      <c r="U192">
        <v>8</v>
      </c>
      <c r="V192">
        <v>8</v>
      </c>
      <c r="W192" t="s">
        <v>350</v>
      </c>
      <c r="X192" t="s">
        <v>349</v>
      </c>
      <c r="Y192" t="s">
        <v>580</v>
      </c>
      <c r="Z192">
        <v>2017</v>
      </c>
      <c r="AB192">
        <v>13</v>
      </c>
      <c r="AC192">
        <v>7.04</v>
      </c>
      <c r="AE192" t="s">
        <v>346</v>
      </c>
      <c r="AF192">
        <v>46.142674</v>
      </c>
      <c r="AG192">
        <v>-115.598088</v>
      </c>
      <c r="AH192">
        <v>14312385</v>
      </c>
    </row>
    <row r="193" spans="2:34">
      <c r="B193" t="s">
        <v>345</v>
      </c>
      <c r="C193" t="s">
        <v>668</v>
      </c>
      <c r="D193" s="3">
        <v>42860.332638888889</v>
      </c>
      <c r="F193">
        <v>2017</v>
      </c>
      <c r="G193" t="s">
        <v>578</v>
      </c>
      <c r="H193" t="s">
        <v>352</v>
      </c>
      <c r="J193">
        <v>0</v>
      </c>
      <c r="L193">
        <v>1</v>
      </c>
      <c r="M193">
        <v>197</v>
      </c>
      <c r="N193">
        <v>72</v>
      </c>
      <c r="O193" t="s">
        <v>575</v>
      </c>
      <c r="Q193" t="s">
        <v>576</v>
      </c>
      <c r="R193" t="s">
        <v>670</v>
      </c>
      <c r="U193">
        <v>8</v>
      </c>
      <c r="V193">
        <v>8</v>
      </c>
      <c r="W193" t="s">
        <v>350</v>
      </c>
      <c r="X193" t="s">
        <v>349</v>
      </c>
      <c r="Y193" t="s">
        <v>580</v>
      </c>
      <c r="Z193">
        <v>2017</v>
      </c>
      <c r="AB193">
        <v>13</v>
      </c>
      <c r="AC193">
        <v>7.04</v>
      </c>
      <c r="AE193" t="s">
        <v>346</v>
      </c>
      <c r="AF193">
        <v>46.142674</v>
      </c>
      <c r="AG193">
        <v>-115.598088</v>
      </c>
      <c r="AH193">
        <v>14312386</v>
      </c>
    </row>
    <row r="194" spans="2:34">
      <c r="B194" t="s">
        <v>345</v>
      </c>
      <c r="C194" t="s">
        <v>668</v>
      </c>
      <c r="D194" s="3">
        <v>42860.332638888889</v>
      </c>
      <c r="F194">
        <v>2017</v>
      </c>
      <c r="G194" t="s">
        <v>578</v>
      </c>
      <c r="H194" t="s">
        <v>352</v>
      </c>
      <c r="J194">
        <v>0</v>
      </c>
      <c r="L194">
        <v>1</v>
      </c>
      <c r="M194">
        <v>172</v>
      </c>
      <c r="N194">
        <v>45</v>
      </c>
      <c r="O194" t="s">
        <v>575</v>
      </c>
      <c r="Q194" t="s">
        <v>684</v>
      </c>
      <c r="R194" t="s">
        <v>670</v>
      </c>
      <c r="U194">
        <v>8</v>
      </c>
      <c r="V194">
        <v>8</v>
      </c>
      <c r="W194" t="s">
        <v>350</v>
      </c>
      <c r="X194" t="s">
        <v>349</v>
      </c>
      <c r="Y194" t="s">
        <v>580</v>
      </c>
      <c r="Z194">
        <v>2017</v>
      </c>
      <c r="AB194">
        <v>13</v>
      </c>
      <c r="AC194">
        <v>7.04</v>
      </c>
      <c r="AE194" t="s">
        <v>346</v>
      </c>
      <c r="AF194">
        <v>46.142674</v>
      </c>
      <c r="AG194">
        <v>-115.598088</v>
      </c>
      <c r="AH194">
        <v>14312387</v>
      </c>
    </row>
    <row r="195" spans="2:34">
      <c r="B195" t="s">
        <v>345</v>
      </c>
      <c r="C195" t="s">
        <v>668</v>
      </c>
      <c r="D195" s="3">
        <v>42860.332638888889</v>
      </c>
      <c r="F195">
        <v>2017</v>
      </c>
      <c r="G195" t="s">
        <v>602</v>
      </c>
      <c r="H195" t="s">
        <v>352</v>
      </c>
      <c r="J195">
        <v>0</v>
      </c>
      <c r="L195">
        <v>1</v>
      </c>
      <c r="M195">
        <v>231</v>
      </c>
      <c r="N195">
        <v>130</v>
      </c>
      <c r="O195" t="s">
        <v>353</v>
      </c>
      <c r="R195" t="s">
        <v>670</v>
      </c>
      <c r="U195">
        <v>8</v>
      </c>
      <c r="V195">
        <v>8</v>
      </c>
      <c r="W195" t="s">
        <v>350</v>
      </c>
      <c r="X195" t="s">
        <v>349</v>
      </c>
      <c r="Y195" t="s">
        <v>580</v>
      </c>
      <c r="Z195">
        <v>2017</v>
      </c>
      <c r="AB195">
        <v>13</v>
      </c>
      <c r="AC195">
        <v>7.04</v>
      </c>
      <c r="AE195" t="s">
        <v>346</v>
      </c>
      <c r="AF195">
        <v>46.142674</v>
      </c>
      <c r="AG195">
        <v>-115.598088</v>
      </c>
      <c r="AH195">
        <v>14312388</v>
      </c>
    </row>
    <row r="196" spans="2:34">
      <c r="B196" t="s">
        <v>345</v>
      </c>
      <c r="C196" t="s">
        <v>668</v>
      </c>
      <c r="D196" s="3">
        <v>42860.332638888889</v>
      </c>
      <c r="F196">
        <v>2017</v>
      </c>
      <c r="G196" t="s">
        <v>578</v>
      </c>
      <c r="H196" t="s">
        <v>352</v>
      </c>
      <c r="J196">
        <v>0</v>
      </c>
      <c r="L196">
        <v>1</v>
      </c>
      <c r="M196">
        <v>166</v>
      </c>
      <c r="N196">
        <v>44</v>
      </c>
      <c r="O196" t="s">
        <v>575</v>
      </c>
      <c r="Q196" t="s">
        <v>576</v>
      </c>
      <c r="R196" t="s">
        <v>670</v>
      </c>
      <c r="U196">
        <v>8</v>
      </c>
      <c r="V196">
        <v>8</v>
      </c>
      <c r="W196" t="s">
        <v>350</v>
      </c>
      <c r="X196" t="s">
        <v>349</v>
      </c>
      <c r="Y196" t="s">
        <v>580</v>
      </c>
      <c r="Z196">
        <v>2017</v>
      </c>
      <c r="AB196">
        <v>13</v>
      </c>
      <c r="AC196">
        <v>7.04</v>
      </c>
      <c r="AE196" t="s">
        <v>346</v>
      </c>
      <c r="AF196">
        <v>46.142674</v>
      </c>
      <c r="AG196">
        <v>-115.598088</v>
      </c>
      <c r="AH196">
        <v>14312389</v>
      </c>
    </row>
    <row r="197" spans="2:34">
      <c r="B197" t="s">
        <v>345</v>
      </c>
      <c r="C197" t="s">
        <v>668</v>
      </c>
      <c r="D197" s="3">
        <v>42860.332638888889</v>
      </c>
      <c r="F197">
        <v>2017</v>
      </c>
      <c r="G197" t="s">
        <v>578</v>
      </c>
      <c r="H197" t="s">
        <v>352</v>
      </c>
      <c r="J197">
        <v>0</v>
      </c>
      <c r="L197">
        <v>1</v>
      </c>
      <c r="M197">
        <v>149</v>
      </c>
      <c r="N197">
        <v>31</v>
      </c>
      <c r="O197" t="s">
        <v>575</v>
      </c>
      <c r="Q197" t="s">
        <v>685</v>
      </c>
      <c r="R197" t="s">
        <v>670</v>
      </c>
      <c r="U197">
        <v>8</v>
      </c>
      <c r="V197">
        <v>8</v>
      </c>
      <c r="W197" t="s">
        <v>350</v>
      </c>
      <c r="X197" t="s">
        <v>349</v>
      </c>
      <c r="Y197" t="s">
        <v>580</v>
      </c>
      <c r="Z197">
        <v>2017</v>
      </c>
      <c r="AB197">
        <v>13</v>
      </c>
      <c r="AC197">
        <v>7.04</v>
      </c>
      <c r="AE197" t="s">
        <v>346</v>
      </c>
      <c r="AF197">
        <v>46.142674</v>
      </c>
      <c r="AG197">
        <v>-115.598088</v>
      </c>
      <c r="AH197">
        <v>14312390</v>
      </c>
    </row>
    <row r="198" spans="2:34">
      <c r="B198" t="s">
        <v>345</v>
      </c>
      <c r="C198" t="s">
        <v>668</v>
      </c>
      <c r="D198" s="3">
        <v>42860.332638888889</v>
      </c>
      <c r="F198">
        <v>2017</v>
      </c>
      <c r="G198" t="s">
        <v>578</v>
      </c>
      <c r="H198" t="s">
        <v>352</v>
      </c>
      <c r="J198">
        <v>0</v>
      </c>
      <c r="L198">
        <v>1</v>
      </c>
      <c r="M198">
        <v>166</v>
      </c>
      <c r="N198">
        <v>93</v>
      </c>
      <c r="O198" t="s">
        <v>575</v>
      </c>
      <c r="Q198" t="s">
        <v>576</v>
      </c>
      <c r="R198" t="s">
        <v>670</v>
      </c>
      <c r="U198">
        <v>8</v>
      </c>
      <c r="V198">
        <v>8</v>
      </c>
      <c r="W198" t="s">
        <v>350</v>
      </c>
      <c r="X198" t="s">
        <v>349</v>
      </c>
      <c r="Y198" t="s">
        <v>580</v>
      </c>
      <c r="Z198">
        <v>2017</v>
      </c>
      <c r="AB198">
        <v>13</v>
      </c>
      <c r="AC198">
        <v>7.04</v>
      </c>
      <c r="AE198" t="s">
        <v>346</v>
      </c>
      <c r="AF198">
        <v>46.142674</v>
      </c>
      <c r="AG198">
        <v>-115.598088</v>
      </c>
      <c r="AH198">
        <v>14312391</v>
      </c>
    </row>
    <row r="199" spans="2:34">
      <c r="B199" t="s">
        <v>345</v>
      </c>
      <c r="C199" t="s">
        <v>668</v>
      </c>
      <c r="D199" s="3">
        <v>42860.332638888889</v>
      </c>
      <c r="F199">
        <v>2017</v>
      </c>
      <c r="G199" t="s">
        <v>578</v>
      </c>
      <c r="H199" t="s">
        <v>352</v>
      </c>
      <c r="J199">
        <v>0</v>
      </c>
      <c r="L199">
        <v>1</v>
      </c>
      <c r="M199">
        <v>184</v>
      </c>
      <c r="N199">
        <v>57</v>
      </c>
      <c r="O199" t="s">
        <v>575</v>
      </c>
      <c r="Q199" t="s">
        <v>576</v>
      </c>
      <c r="R199" t="s">
        <v>670</v>
      </c>
      <c r="U199">
        <v>8</v>
      </c>
      <c r="V199">
        <v>8</v>
      </c>
      <c r="W199" t="s">
        <v>350</v>
      </c>
      <c r="X199" t="s">
        <v>349</v>
      </c>
      <c r="Y199" t="s">
        <v>580</v>
      </c>
      <c r="Z199">
        <v>2017</v>
      </c>
      <c r="AB199">
        <v>13</v>
      </c>
      <c r="AC199">
        <v>7.04</v>
      </c>
      <c r="AE199" t="s">
        <v>346</v>
      </c>
      <c r="AF199">
        <v>46.142674</v>
      </c>
      <c r="AG199">
        <v>-115.598088</v>
      </c>
      <c r="AH199">
        <v>14312392</v>
      </c>
    </row>
    <row r="200" spans="2:34">
      <c r="B200" t="s">
        <v>345</v>
      </c>
      <c r="C200" t="s">
        <v>668</v>
      </c>
      <c r="D200" s="3">
        <v>42860.332638888889</v>
      </c>
      <c r="F200">
        <v>2017</v>
      </c>
      <c r="G200" t="s">
        <v>578</v>
      </c>
      <c r="H200" t="s">
        <v>352</v>
      </c>
      <c r="J200">
        <v>0</v>
      </c>
      <c r="L200">
        <v>1</v>
      </c>
      <c r="M200">
        <v>158</v>
      </c>
      <c r="N200">
        <v>31</v>
      </c>
      <c r="O200" t="s">
        <v>575</v>
      </c>
      <c r="Q200" t="s">
        <v>576</v>
      </c>
      <c r="R200" t="s">
        <v>670</v>
      </c>
      <c r="U200">
        <v>8</v>
      </c>
      <c r="V200">
        <v>8</v>
      </c>
      <c r="W200" t="s">
        <v>350</v>
      </c>
      <c r="X200" t="s">
        <v>349</v>
      </c>
      <c r="Y200" t="s">
        <v>580</v>
      </c>
      <c r="Z200">
        <v>2017</v>
      </c>
      <c r="AB200">
        <v>13</v>
      </c>
      <c r="AC200">
        <v>7.04</v>
      </c>
      <c r="AE200" t="s">
        <v>346</v>
      </c>
      <c r="AF200">
        <v>46.142674</v>
      </c>
      <c r="AG200">
        <v>-115.598088</v>
      </c>
      <c r="AH200">
        <v>14312393</v>
      </c>
    </row>
    <row r="201" spans="2:34">
      <c r="B201" t="s">
        <v>345</v>
      </c>
      <c r="C201" t="s">
        <v>668</v>
      </c>
      <c r="D201" s="3">
        <v>42860.332638888889</v>
      </c>
      <c r="F201">
        <v>2017</v>
      </c>
      <c r="G201" t="s">
        <v>578</v>
      </c>
      <c r="H201" t="s">
        <v>352</v>
      </c>
      <c r="J201">
        <v>0</v>
      </c>
      <c r="L201">
        <v>1</v>
      </c>
      <c r="M201">
        <v>160</v>
      </c>
      <c r="N201">
        <v>36</v>
      </c>
      <c r="O201" t="s">
        <v>575</v>
      </c>
      <c r="Q201" t="s">
        <v>576</v>
      </c>
      <c r="R201" t="s">
        <v>670</v>
      </c>
      <c r="U201">
        <v>8</v>
      </c>
      <c r="V201">
        <v>8</v>
      </c>
      <c r="W201" t="s">
        <v>350</v>
      </c>
      <c r="X201" t="s">
        <v>349</v>
      </c>
      <c r="Y201" t="s">
        <v>580</v>
      </c>
      <c r="Z201">
        <v>2017</v>
      </c>
      <c r="AB201">
        <v>13</v>
      </c>
      <c r="AC201">
        <v>7.04</v>
      </c>
      <c r="AE201" t="s">
        <v>346</v>
      </c>
      <c r="AF201">
        <v>46.142674</v>
      </c>
      <c r="AG201">
        <v>-115.598088</v>
      </c>
      <c r="AH201">
        <v>14312394</v>
      </c>
    </row>
    <row r="202" spans="2:34">
      <c r="B202" t="s">
        <v>345</v>
      </c>
      <c r="C202" t="s">
        <v>668</v>
      </c>
      <c r="D202" s="3">
        <v>42860.332638888889</v>
      </c>
      <c r="F202">
        <v>2017</v>
      </c>
      <c r="G202" t="s">
        <v>578</v>
      </c>
      <c r="H202" t="s">
        <v>352</v>
      </c>
      <c r="J202">
        <v>0</v>
      </c>
      <c r="L202">
        <v>1</v>
      </c>
      <c r="M202">
        <v>156</v>
      </c>
      <c r="N202">
        <v>33</v>
      </c>
      <c r="O202" t="s">
        <v>575</v>
      </c>
      <c r="Q202" t="s">
        <v>576</v>
      </c>
      <c r="R202" t="s">
        <v>670</v>
      </c>
      <c r="U202">
        <v>8</v>
      </c>
      <c r="V202">
        <v>8</v>
      </c>
      <c r="W202" t="s">
        <v>350</v>
      </c>
      <c r="X202" t="s">
        <v>349</v>
      </c>
      <c r="Y202" t="s">
        <v>580</v>
      </c>
      <c r="Z202">
        <v>2017</v>
      </c>
      <c r="AB202">
        <v>13</v>
      </c>
      <c r="AC202">
        <v>7.04</v>
      </c>
      <c r="AE202" t="s">
        <v>346</v>
      </c>
      <c r="AF202">
        <v>46.142674</v>
      </c>
      <c r="AG202">
        <v>-115.598088</v>
      </c>
      <c r="AH202">
        <v>14312395</v>
      </c>
    </row>
    <row r="203" spans="2:34">
      <c r="B203" t="s">
        <v>345</v>
      </c>
      <c r="C203" t="s">
        <v>668</v>
      </c>
      <c r="D203" s="3">
        <v>42860.332638888889</v>
      </c>
      <c r="F203">
        <v>2017</v>
      </c>
      <c r="G203" t="s">
        <v>578</v>
      </c>
      <c r="H203" t="s">
        <v>352</v>
      </c>
      <c r="J203">
        <v>0</v>
      </c>
      <c r="L203">
        <v>1</v>
      </c>
      <c r="M203">
        <v>161</v>
      </c>
      <c r="N203">
        <v>42</v>
      </c>
      <c r="O203" t="s">
        <v>575</v>
      </c>
      <c r="Q203" t="s">
        <v>686</v>
      </c>
      <c r="R203" t="s">
        <v>670</v>
      </c>
      <c r="U203">
        <v>8</v>
      </c>
      <c r="V203">
        <v>8</v>
      </c>
      <c r="W203" t="s">
        <v>350</v>
      </c>
      <c r="X203" t="s">
        <v>349</v>
      </c>
      <c r="Y203" t="s">
        <v>580</v>
      </c>
      <c r="Z203">
        <v>2017</v>
      </c>
      <c r="AB203">
        <v>13</v>
      </c>
      <c r="AC203">
        <v>7.04</v>
      </c>
      <c r="AE203" t="s">
        <v>346</v>
      </c>
      <c r="AF203">
        <v>46.142674</v>
      </c>
      <c r="AG203">
        <v>-115.598088</v>
      </c>
      <c r="AH203">
        <v>14312396</v>
      </c>
    </row>
    <row r="204" spans="2:34">
      <c r="B204" t="s">
        <v>345</v>
      </c>
      <c r="C204" t="s">
        <v>668</v>
      </c>
      <c r="D204" s="3">
        <v>42860.332638888889</v>
      </c>
      <c r="F204">
        <v>2017</v>
      </c>
      <c r="G204" t="s">
        <v>578</v>
      </c>
      <c r="H204" t="s">
        <v>352</v>
      </c>
      <c r="J204">
        <v>0</v>
      </c>
      <c r="L204">
        <v>1</v>
      </c>
      <c r="M204">
        <v>164</v>
      </c>
      <c r="N204">
        <v>43</v>
      </c>
      <c r="O204" t="s">
        <v>575</v>
      </c>
      <c r="Q204" t="s">
        <v>576</v>
      </c>
      <c r="R204" t="s">
        <v>670</v>
      </c>
      <c r="U204">
        <v>8</v>
      </c>
      <c r="V204">
        <v>8</v>
      </c>
      <c r="W204" t="s">
        <v>350</v>
      </c>
      <c r="X204" t="s">
        <v>349</v>
      </c>
      <c r="Y204" t="s">
        <v>580</v>
      </c>
      <c r="Z204">
        <v>2017</v>
      </c>
      <c r="AB204">
        <v>13</v>
      </c>
      <c r="AC204">
        <v>7.04</v>
      </c>
      <c r="AE204" t="s">
        <v>346</v>
      </c>
      <c r="AF204">
        <v>46.142674</v>
      </c>
      <c r="AG204">
        <v>-115.598088</v>
      </c>
      <c r="AH204">
        <v>14312397</v>
      </c>
    </row>
    <row r="205" spans="2:34">
      <c r="B205" t="s">
        <v>345</v>
      </c>
      <c r="C205" t="s">
        <v>668</v>
      </c>
      <c r="D205" s="3">
        <v>42860.332638888889</v>
      </c>
      <c r="F205">
        <v>2017</v>
      </c>
      <c r="G205" t="s">
        <v>578</v>
      </c>
      <c r="H205" t="s">
        <v>352</v>
      </c>
      <c r="J205">
        <v>0</v>
      </c>
      <c r="L205">
        <v>1</v>
      </c>
      <c r="M205">
        <v>215</v>
      </c>
      <c r="N205">
        <v>88</v>
      </c>
      <c r="O205" t="s">
        <v>575</v>
      </c>
      <c r="Q205" t="s">
        <v>576</v>
      </c>
      <c r="R205" t="s">
        <v>670</v>
      </c>
      <c r="U205">
        <v>8</v>
      </c>
      <c r="V205">
        <v>8</v>
      </c>
      <c r="W205" t="s">
        <v>350</v>
      </c>
      <c r="X205" t="s">
        <v>349</v>
      </c>
      <c r="Y205" t="s">
        <v>580</v>
      </c>
      <c r="Z205">
        <v>2017</v>
      </c>
      <c r="AB205">
        <v>13</v>
      </c>
      <c r="AC205">
        <v>7.04</v>
      </c>
      <c r="AE205" t="s">
        <v>346</v>
      </c>
      <c r="AF205">
        <v>46.142674</v>
      </c>
      <c r="AG205">
        <v>-115.598088</v>
      </c>
      <c r="AH205">
        <v>14312398</v>
      </c>
    </row>
    <row r="206" spans="2:34">
      <c r="B206" t="s">
        <v>345</v>
      </c>
      <c r="C206" t="s">
        <v>668</v>
      </c>
      <c r="D206" s="3">
        <v>42860.332638888889</v>
      </c>
      <c r="F206">
        <v>2017</v>
      </c>
      <c r="G206" t="s">
        <v>578</v>
      </c>
      <c r="H206" t="s">
        <v>352</v>
      </c>
      <c r="J206">
        <v>0</v>
      </c>
      <c r="L206">
        <v>1</v>
      </c>
      <c r="M206">
        <v>159</v>
      </c>
      <c r="N206">
        <v>37</v>
      </c>
      <c r="O206" t="s">
        <v>575</v>
      </c>
      <c r="Q206" t="s">
        <v>687</v>
      </c>
      <c r="R206" t="s">
        <v>670</v>
      </c>
      <c r="U206">
        <v>8</v>
      </c>
      <c r="V206">
        <v>8</v>
      </c>
      <c r="W206" t="s">
        <v>350</v>
      </c>
      <c r="X206" t="s">
        <v>349</v>
      </c>
      <c r="Y206" t="s">
        <v>580</v>
      </c>
      <c r="Z206">
        <v>2017</v>
      </c>
      <c r="AB206">
        <v>13</v>
      </c>
      <c r="AC206">
        <v>7.04</v>
      </c>
      <c r="AE206" t="s">
        <v>346</v>
      </c>
      <c r="AF206">
        <v>46.142674</v>
      </c>
      <c r="AG206">
        <v>-115.598088</v>
      </c>
      <c r="AH206">
        <v>14312399</v>
      </c>
    </row>
    <row r="207" spans="2:34">
      <c r="B207" t="s">
        <v>345</v>
      </c>
      <c r="C207" t="s">
        <v>668</v>
      </c>
      <c r="D207" s="3">
        <v>42860.332638888889</v>
      </c>
      <c r="F207">
        <v>2017</v>
      </c>
      <c r="G207" t="s">
        <v>578</v>
      </c>
      <c r="H207" t="s">
        <v>352</v>
      </c>
      <c r="J207">
        <v>0</v>
      </c>
      <c r="L207">
        <v>1</v>
      </c>
      <c r="M207">
        <v>172</v>
      </c>
      <c r="N207">
        <v>49</v>
      </c>
      <c r="O207" t="s">
        <v>575</v>
      </c>
      <c r="Q207" t="s">
        <v>576</v>
      </c>
      <c r="R207" t="s">
        <v>670</v>
      </c>
      <c r="U207">
        <v>8</v>
      </c>
      <c r="V207">
        <v>8</v>
      </c>
      <c r="W207" t="s">
        <v>350</v>
      </c>
      <c r="X207" t="s">
        <v>349</v>
      </c>
      <c r="Y207" t="s">
        <v>580</v>
      </c>
      <c r="Z207">
        <v>2017</v>
      </c>
      <c r="AB207">
        <v>13</v>
      </c>
      <c r="AC207">
        <v>7.04</v>
      </c>
      <c r="AE207" t="s">
        <v>346</v>
      </c>
      <c r="AF207">
        <v>46.142674</v>
      </c>
      <c r="AG207">
        <v>-115.598088</v>
      </c>
      <c r="AH207">
        <v>14312400</v>
      </c>
    </row>
    <row r="208" spans="2:34">
      <c r="B208" t="s">
        <v>345</v>
      </c>
      <c r="C208" t="s">
        <v>668</v>
      </c>
      <c r="D208" s="3">
        <v>42860.332638888889</v>
      </c>
      <c r="F208">
        <v>2017</v>
      </c>
      <c r="G208" t="s">
        <v>578</v>
      </c>
      <c r="H208" t="s">
        <v>352</v>
      </c>
      <c r="J208">
        <v>0</v>
      </c>
      <c r="L208">
        <v>1</v>
      </c>
      <c r="M208">
        <v>166</v>
      </c>
      <c r="N208">
        <v>34</v>
      </c>
      <c r="O208" t="s">
        <v>575</v>
      </c>
      <c r="Q208" t="s">
        <v>576</v>
      </c>
      <c r="R208" t="s">
        <v>670</v>
      </c>
      <c r="U208">
        <v>8</v>
      </c>
      <c r="V208">
        <v>8</v>
      </c>
      <c r="W208" t="s">
        <v>350</v>
      </c>
      <c r="X208" t="s">
        <v>349</v>
      </c>
      <c r="Y208" t="s">
        <v>580</v>
      </c>
      <c r="Z208">
        <v>2017</v>
      </c>
      <c r="AB208">
        <v>13</v>
      </c>
      <c r="AC208">
        <v>7.04</v>
      </c>
      <c r="AE208" t="s">
        <v>346</v>
      </c>
      <c r="AF208">
        <v>46.142674</v>
      </c>
      <c r="AG208">
        <v>-115.598088</v>
      </c>
      <c r="AH208">
        <v>14312401</v>
      </c>
    </row>
    <row r="209" spans="2:34">
      <c r="B209" t="s">
        <v>345</v>
      </c>
      <c r="C209" t="s">
        <v>668</v>
      </c>
      <c r="D209" s="3">
        <v>42860.332638888889</v>
      </c>
      <c r="F209">
        <v>2017</v>
      </c>
      <c r="G209" t="s">
        <v>578</v>
      </c>
      <c r="H209" t="s">
        <v>352</v>
      </c>
      <c r="J209">
        <v>0</v>
      </c>
      <c r="L209">
        <v>1</v>
      </c>
      <c r="M209">
        <v>168</v>
      </c>
      <c r="N209">
        <v>42</v>
      </c>
      <c r="O209" t="s">
        <v>575</v>
      </c>
      <c r="Q209" t="s">
        <v>576</v>
      </c>
      <c r="R209" t="s">
        <v>670</v>
      </c>
      <c r="U209">
        <v>8</v>
      </c>
      <c r="V209">
        <v>8</v>
      </c>
      <c r="W209" t="s">
        <v>350</v>
      </c>
      <c r="X209" t="s">
        <v>349</v>
      </c>
      <c r="Y209" t="s">
        <v>580</v>
      </c>
      <c r="Z209">
        <v>2017</v>
      </c>
      <c r="AB209">
        <v>13</v>
      </c>
      <c r="AC209">
        <v>7.04</v>
      </c>
      <c r="AE209" t="s">
        <v>346</v>
      </c>
      <c r="AF209">
        <v>46.142674</v>
      </c>
      <c r="AG209">
        <v>-115.598088</v>
      </c>
      <c r="AH209">
        <v>14312402</v>
      </c>
    </row>
    <row r="210" spans="2:34">
      <c r="B210" t="s">
        <v>345</v>
      </c>
      <c r="C210" t="s">
        <v>668</v>
      </c>
      <c r="D210" s="3">
        <v>42860.332638888889</v>
      </c>
      <c r="F210">
        <v>2017</v>
      </c>
      <c r="G210" t="s">
        <v>605</v>
      </c>
      <c r="H210" t="s">
        <v>352</v>
      </c>
      <c r="J210">
        <v>0</v>
      </c>
      <c r="L210">
        <v>1</v>
      </c>
      <c r="M210">
        <v>121</v>
      </c>
      <c r="N210">
        <v>23</v>
      </c>
      <c r="O210" t="s">
        <v>353</v>
      </c>
      <c r="R210" t="s">
        <v>670</v>
      </c>
      <c r="U210">
        <v>8</v>
      </c>
      <c r="V210">
        <v>8</v>
      </c>
      <c r="W210" t="s">
        <v>350</v>
      </c>
      <c r="X210" t="s">
        <v>349</v>
      </c>
      <c r="Y210" t="s">
        <v>580</v>
      </c>
      <c r="Z210">
        <v>2017</v>
      </c>
      <c r="AB210">
        <v>13</v>
      </c>
      <c r="AC210">
        <v>7.04</v>
      </c>
      <c r="AE210" t="s">
        <v>346</v>
      </c>
      <c r="AF210">
        <v>46.142674</v>
      </c>
      <c r="AG210">
        <v>-115.598088</v>
      </c>
      <c r="AH210">
        <v>14312403</v>
      </c>
    </row>
    <row r="211" spans="2:34">
      <c r="B211" t="s">
        <v>345</v>
      </c>
      <c r="C211" t="s">
        <v>668</v>
      </c>
      <c r="D211" s="3">
        <v>42860.332638888889</v>
      </c>
      <c r="F211">
        <v>2017</v>
      </c>
      <c r="G211" t="s">
        <v>578</v>
      </c>
      <c r="H211" t="s">
        <v>352</v>
      </c>
      <c r="J211">
        <v>0</v>
      </c>
      <c r="L211">
        <v>1</v>
      </c>
      <c r="M211">
        <v>162</v>
      </c>
      <c r="N211">
        <v>37</v>
      </c>
      <c r="O211" t="s">
        <v>575</v>
      </c>
      <c r="Q211" t="s">
        <v>576</v>
      </c>
      <c r="R211" t="s">
        <v>670</v>
      </c>
      <c r="U211">
        <v>8</v>
      </c>
      <c r="V211">
        <v>8</v>
      </c>
      <c r="W211" t="s">
        <v>350</v>
      </c>
      <c r="X211" t="s">
        <v>349</v>
      </c>
      <c r="Y211" t="s">
        <v>580</v>
      </c>
      <c r="Z211">
        <v>2017</v>
      </c>
      <c r="AB211">
        <v>13</v>
      </c>
      <c r="AC211">
        <v>7.04</v>
      </c>
      <c r="AE211" t="s">
        <v>346</v>
      </c>
      <c r="AF211">
        <v>46.142674</v>
      </c>
      <c r="AG211">
        <v>-115.598088</v>
      </c>
      <c r="AH211">
        <v>14312404</v>
      </c>
    </row>
    <row r="212" spans="2:34">
      <c r="B212" t="s">
        <v>345</v>
      </c>
      <c r="C212" t="s">
        <v>668</v>
      </c>
      <c r="D212" s="3">
        <v>42860.332638888889</v>
      </c>
      <c r="F212">
        <v>2017</v>
      </c>
      <c r="G212" t="s">
        <v>578</v>
      </c>
      <c r="H212" t="s">
        <v>352</v>
      </c>
      <c r="J212">
        <v>0</v>
      </c>
      <c r="L212">
        <v>1</v>
      </c>
      <c r="M212">
        <v>174</v>
      </c>
      <c r="N212">
        <v>48</v>
      </c>
      <c r="O212" t="s">
        <v>575</v>
      </c>
      <c r="Q212" t="s">
        <v>576</v>
      </c>
      <c r="R212" t="s">
        <v>670</v>
      </c>
      <c r="U212">
        <v>8</v>
      </c>
      <c r="V212">
        <v>8</v>
      </c>
      <c r="W212" t="s">
        <v>350</v>
      </c>
      <c r="X212" t="s">
        <v>349</v>
      </c>
      <c r="Y212" t="s">
        <v>580</v>
      </c>
      <c r="Z212">
        <v>2017</v>
      </c>
      <c r="AB212">
        <v>13</v>
      </c>
      <c r="AC212">
        <v>7.04</v>
      </c>
      <c r="AE212" t="s">
        <v>346</v>
      </c>
      <c r="AF212">
        <v>46.142674</v>
      </c>
      <c r="AG212">
        <v>-115.598088</v>
      </c>
      <c r="AH212">
        <v>14312405</v>
      </c>
    </row>
    <row r="213" spans="2:34">
      <c r="B213" t="s">
        <v>345</v>
      </c>
      <c r="C213" t="s">
        <v>668</v>
      </c>
      <c r="D213" s="3">
        <v>42860.332638888889</v>
      </c>
      <c r="F213">
        <v>2017</v>
      </c>
      <c r="G213" t="s">
        <v>578</v>
      </c>
      <c r="H213" t="s">
        <v>352</v>
      </c>
      <c r="J213">
        <v>0</v>
      </c>
      <c r="L213">
        <v>1</v>
      </c>
      <c r="M213">
        <v>195</v>
      </c>
      <c r="N213">
        <v>68</v>
      </c>
      <c r="O213" t="s">
        <v>575</v>
      </c>
      <c r="Q213" t="s">
        <v>576</v>
      </c>
      <c r="R213" t="s">
        <v>670</v>
      </c>
      <c r="U213">
        <v>8</v>
      </c>
      <c r="V213">
        <v>8</v>
      </c>
      <c r="W213" t="s">
        <v>350</v>
      </c>
      <c r="X213" t="s">
        <v>349</v>
      </c>
      <c r="Y213" t="s">
        <v>580</v>
      </c>
      <c r="Z213">
        <v>2017</v>
      </c>
      <c r="AB213">
        <v>13</v>
      </c>
      <c r="AC213">
        <v>7.04</v>
      </c>
      <c r="AE213" t="s">
        <v>346</v>
      </c>
      <c r="AF213">
        <v>46.142674</v>
      </c>
      <c r="AG213">
        <v>-115.598088</v>
      </c>
      <c r="AH213">
        <v>14312406</v>
      </c>
    </row>
    <row r="214" spans="2:34">
      <c r="B214" t="s">
        <v>345</v>
      </c>
      <c r="C214" t="s">
        <v>668</v>
      </c>
      <c r="D214" s="3">
        <v>42860.332638888889</v>
      </c>
      <c r="F214">
        <v>2017</v>
      </c>
      <c r="G214" t="s">
        <v>578</v>
      </c>
      <c r="H214" t="s">
        <v>352</v>
      </c>
      <c r="J214">
        <v>0</v>
      </c>
      <c r="L214">
        <v>1</v>
      </c>
      <c r="M214">
        <v>190</v>
      </c>
      <c r="N214">
        <v>61</v>
      </c>
      <c r="O214" t="s">
        <v>575</v>
      </c>
      <c r="Q214" t="s">
        <v>576</v>
      </c>
      <c r="R214" t="s">
        <v>670</v>
      </c>
      <c r="U214">
        <v>8</v>
      </c>
      <c r="V214">
        <v>8</v>
      </c>
      <c r="W214" t="s">
        <v>350</v>
      </c>
      <c r="X214" t="s">
        <v>349</v>
      </c>
      <c r="Y214" t="s">
        <v>580</v>
      </c>
      <c r="Z214">
        <v>2017</v>
      </c>
      <c r="AB214">
        <v>13</v>
      </c>
      <c r="AC214">
        <v>7.04</v>
      </c>
      <c r="AE214" t="s">
        <v>346</v>
      </c>
      <c r="AF214">
        <v>46.142674</v>
      </c>
      <c r="AG214">
        <v>-115.598088</v>
      </c>
      <c r="AH214">
        <v>14312407</v>
      </c>
    </row>
    <row r="215" spans="2:34">
      <c r="B215" t="s">
        <v>345</v>
      </c>
      <c r="C215" t="s">
        <v>668</v>
      </c>
      <c r="D215" s="3">
        <v>42860.332638888889</v>
      </c>
      <c r="F215">
        <v>2017</v>
      </c>
      <c r="G215" t="s">
        <v>578</v>
      </c>
      <c r="H215" t="s">
        <v>352</v>
      </c>
      <c r="J215">
        <v>0</v>
      </c>
      <c r="L215">
        <v>1</v>
      </c>
      <c r="M215">
        <v>194</v>
      </c>
      <c r="N215">
        <v>70</v>
      </c>
      <c r="O215" t="s">
        <v>575</v>
      </c>
      <c r="Q215" t="s">
        <v>576</v>
      </c>
      <c r="R215" t="s">
        <v>670</v>
      </c>
      <c r="U215">
        <v>8</v>
      </c>
      <c r="V215">
        <v>8</v>
      </c>
      <c r="W215" t="s">
        <v>350</v>
      </c>
      <c r="X215" t="s">
        <v>349</v>
      </c>
      <c r="Y215" t="s">
        <v>580</v>
      </c>
      <c r="Z215">
        <v>2017</v>
      </c>
      <c r="AB215">
        <v>13</v>
      </c>
      <c r="AC215">
        <v>7.04</v>
      </c>
      <c r="AE215" t="s">
        <v>346</v>
      </c>
      <c r="AF215">
        <v>46.142674</v>
      </c>
      <c r="AG215">
        <v>-115.598088</v>
      </c>
      <c r="AH215">
        <v>14312408</v>
      </c>
    </row>
    <row r="216" spans="2:34">
      <c r="B216" t="s">
        <v>345</v>
      </c>
      <c r="C216" t="s">
        <v>668</v>
      </c>
      <c r="D216" s="3">
        <v>42860.332638888889</v>
      </c>
      <c r="F216">
        <v>2017</v>
      </c>
      <c r="G216" t="s">
        <v>578</v>
      </c>
      <c r="H216" t="s">
        <v>352</v>
      </c>
      <c r="J216">
        <v>0</v>
      </c>
      <c r="L216">
        <v>1</v>
      </c>
      <c r="M216">
        <v>172</v>
      </c>
      <c r="N216">
        <v>49</v>
      </c>
      <c r="O216" t="s">
        <v>575</v>
      </c>
      <c r="Q216" t="s">
        <v>576</v>
      </c>
      <c r="R216" t="s">
        <v>670</v>
      </c>
      <c r="U216">
        <v>8</v>
      </c>
      <c r="V216">
        <v>8</v>
      </c>
      <c r="W216" t="s">
        <v>350</v>
      </c>
      <c r="X216" t="s">
        <v>349</v>
      </c>
      <c r="Y216" t="s">
        <v>580</v>
      </c>
      <c r="Z216">
        <v>2017</v>
      </c>
      <c r="AB216">
        <v>13</v>
      </c>
      <c r="AC216">
        <v>7.04</v>
      </c>
      <c r="AE216" t="s">
        <v>346</v>
      </c>
      <c r="AF216">
        <v>46.142674</v>
      </c>
      <c r="AG216">
        <v>-115.598088</v>
      </c>
      <c r="AH216">
        <v>14312409</v>
      </c>
    </row>
    <row r="217" spans="2:34">
      <c r="B217" t="s">
        <v>345</v>
      </c>
      <c r="C217" t="s">
        <v>668</v>
      </c>
      <c r="D217" s="3">
        <v>42860.332638888889</v>
      </c>
      <c r="F217">
        <v>2017</v>
      </c>
      <c r="G217" t="s">
        <v>578</v>
      </c>
      <c r="H217" t="s">
        <v>352</v>
      </c>
      <c r="J217">
        <v>0</v>
      </c>
      <c r="L217">
        <v>1</v>
      </c>
      <c r="M217">
        <v>152</v>
      </c>
      <c r="N217">
        <v>38</v>
      </c>
      <c r="O217" t="s">
        <v>575</v>
      </c>
      <c r="Q217" t="s">
        <v>576</v>
      </c>
      <c r="R217" t="s">
        <v>670</v>
      </c>
      <c r="U217">
        <v>8</v>
      </c>
      <c r="V217">
        <v>8</v>
      </c>
      <c r="W217" t="s">
        <v>350</v>
      </c>
      <c r="X217" t="s">
        <v>349</v>
      </c>
      <c r="Y217" t="s">
        <v>580</v>
      </c>
      <c r="Z217">
        <v>2017</v>
      </c>
      <c r="AB217">
        <v>13</v>
      </c>
      <c r="AC217">
        <v>7.04</v>
      </c>
      <c r="AE217" t="s">
        <v>346</v>
      </c>
      <c r="AF217">
        <v>46.142674</v>
      </c>
      <c r="AG217">
        <v>-115.598088</v>
      </c>
      <c r="AH217">
        <v>14312410</v>
      </c>
    </row>
    <row r="218" spans="2:34">
      <c r="B218" t="s">
        <v>345</v>
      </c>
      <c r="C218" t="s">
        <v>668</v>
      </c>
      <c r="D218" s="3">
        <v>42860.332638888889</v>
      </c>
      <c r="F218">
        <v>2017</v>
      </c>
      <c r="G218" t="s">
        <v>578</v>
      </c>
      <c r="H218" t="s">
        <v>352</v>
      </c>
      <c r="J218">
        <v>0</v>
      </c>
      <c r="L218">
        <v>1</v>
      </c>
      <c r="M218">
        <v>168</v>
      </c>
      <c r="N218">
        <v>42</v>
      </c>
      <c r="O218" t="s">
        <v>634</v>
      </c>
      <c r="P218" t="s">
        <v>635</v>
      </c>
      <c r="Q218" t="s">
        <v>635</v>
      </c>
      <c r="R218" t="s">
        <v>670</v>
      </c>
      <c r="U218">
        <v>8</v>
      </c>
      <c r="V218">
        <v>8</v>
      </c>
      <c r="W218" t="s">
        <v>350</v>
      </c>
      <c r="X218" t="s">
        <v>349</v>
      </c>
      <c r="Y218" t="s">
        <v>580</v>
      </c>
      <c r="Z218">
        <v>2017</v>
      </c>
      <c r="AB218">
        <v>13</v>
      </c>
      <c r="AC218">
        <v>7.04</v>
      </c>
      <c r="AE218" t="s">
        <v>346</v>
      </c>
      <c r="AF218">
        <v>46.142674</v>
      </c>
      <c r="AG218">
        <v>-115.598088</v>
      </c>
      <c r="AH218">
        <v>14312411</v>
      </c>
    </row>
    <row r="219" spans="2:34">
      <c r="B219" t="s">
        <v>345</v>
      </c>
      <c r="C219" t="s">
        <v>668</v>
      </c>
      <c r="D219" s="3">
        <v>42860.332638888889</v>
      </c>
      <c r="F219">
        <v>2017</v>
      </c>
      <c r="G219" t="s">
        <v>578</v>
      </c>
      <c r="H219" t="s">
        <v>352</v>
      </c>
      <c r="J219">
        <v>0</v>
      </c>
      <c r="L219">
        <v>1</v>
      </c>
      <c r="M219">
        <v>165</v>
      </c>
      <c r="N219">
        <v>44</v>
      </c>
      <c r="O219" t="s">
        <v>575</v>
      </c>
      <c r="Q219" t="s">
        <v>688</v>
      </c>
      <c r="R219" t="s">
        <v>670</v>
      </c>
      <c r="U219">
        <v>8</v>
      </c>
      <c r="V219">
        <v>8</v>
      </c>
      <c r="W219" t="s">
        <v>350</v>
      </c>
      <c r="X219" t="s">
        <v>349</v>
      </c>
      <c r="Y219" t="s">
        <v>580</v>
      </c>
      <c r="Z219">
        <v>2017</v>
      </c>
      <c r="AB219">
        <v>13</v>
      </c>
      <c r="AC219">
        <v>7.04</v>
      </c>
      <c r="AE219" t="s">
        <v>346</v>
      </c>
      <c r="AF219">
        <v>46.142674</v>
      </c>
      <c r="AG219">
        <v>-115.598088</v>
      </c>
      <c r="AH219">
        <v>14312412</v>
      </c>
    </row>
    <row r="220" spans="2:34">
      <c r="B220" t="s">
        <v>345</v>
      </c>
      <c r="C220" t="s">
        <v>668</v>
      </c>
      <c r="D220" s="3">
        <v>42860.332638888889</v>
      </c>
      <c r="F220">
        <v>2017</v>
      </c>
      <c r="G220" t="s">
        <v>578</v>
      </c>
      <c r="H220" t="s">
        <v>352</v>
      </c>
      <c r="J220">
        <v>0</v>
      </c>
      <c r="L220">
        <v>1</v>
      </c>
      <c r="M220">
        <v>191</v>
      </c>
      <c r="N220">
        <v>67</v>
      </c>
      <c r="O220" t="s">
        <v>575</v>
      </c>
      <c r="Q220" t="s">
        <v>576</v>
      </c>
      <c r="R220" t="s">
        <v>670</v>
      </c>
      <c r="U220">
        <v>8</v>
      </c>
      <c r="V220">
        <v>8</v>
      </c>
      <c r="W220" t="s">
        <v>350</v>
      </c>
      <c r="X220" t="s">
        <v>349</v>
      </c>
      <c r="Y220" t="s">
        <v>580</v>
      </c>
      <c r="Z220">
        <v>2017</v>
      </c>
      <c r="AB220">
        <v>13</v>
      </c>
      <c r="AC220">
        <v>7.04</v>
      </c>
      <c r="AE220" t="s">
        <v>346</v>
      </c>
      <c r="AF220">
        <v>46.142674</v>
      </c>
      <c r="AG220">
        <v>-115.598088</v>
      </c>
      <c r="AH220">
        <v>14312413</v>
      </c>
    </row>
    <row r="221" spans="2:34">
      <c r="B221" t="s">
        <v>345</v>
      </c>
      <c r="C221" t="s">
        <v>668</v>
      </c>
      <c r="D221" s="3">
        <v>42860.332638888889</v>
      </c>
      <c r="F221">
        <v>2017</v>
      </c>
      <c r="G221" t="s">
        <v>351</v>
      </c>
      <c r="H221" t="s">
        <v>352</v>
      </c>
      <c r="J221">
        <v>0</v>
      </c>
      <c r="L221">
        <v>1</v>
      </c>
      <c r="M221">
        <v>92</v>
      </c>
      <c r="N221">
        <v>2</v>
      </c>
      <c r="O221" t="s">
        <v>353</v>
      </c>
      <c r="R221" t="s">
        <v>670</v>
      </c>
      <c r="U221">
        <v>8</v>
      </c>
      <c r="V221">
        <v>8</v>
      </c>
      <c r="W221" t="s">
        <v>350</v>
      </c>
      <c r="X221" t="s">
        <v>349</v>
      </c>
      <c r="Y221" t="s">
        <v>580</v>
      </c>
      <c r="Z221">
        <v>2017</v>
      </c>
      <c r="AB221">
        <v>13</v>
      </c>
      <c r="AC221">
        <v>7.04</v>
      </c>
      <c r="AE221" t="s">
        <v>346</v>
      </c>
      <c r="AF221">
        <v>46.142674</v>
      </c>
      <c r="AG221">
        <v>-115.598088</v>
      </c>
      <c r="AH221">
        <v>14312414</v>
      </c>
    </row>
    <row r="222" spans="2:34">
      <c r="B222" t="s">
        <v>345</v>
      </c>
      <c r="C222" t="s">
        <v>668</v>
      </c>
      <c r="D222" s="3">
        <v>42860.332638888889</v>
      </c>
      <c r="F222">
        <v>2017</v>
      </c>
      <c r="G222" t="s">
        <v>578</v>
      </c>
      <c r="H222" t="s">
        <v>352</v>
      </c>
      <c r="J222">
        <v>0</v>
      </c>
      <c r="L222">
        <v>1</v>
      </c>
      <c r="M222">
        <v>164</v>
      </c>
      <c r="N222">
        <v>41</v>
      </c>
      <c r="O222" t="s">
        <v>575</v>
      </c>
      <c r="Q222" t="s">
        <v>576</v>
      </c>
      <c r="R222" t="s">
        <v>670</v>
      </c>
      <c r="U222">
        <v>8</v>
      </c>
      <c r="V222">
        <v>8</v>
      </c>
      <c r="W222" t="s">
        <v>350</v>
      </c>
      <c r="X222" t="s">
        <v>349</v>
      </c>
      <c r="Y222" t="s">
        <v>580</v>
      </c>
      <c r="Z222">
        <v>2017</v>
      </c>
      <c r="AB222">
        <v>13</v>
      </c>
      <c r="AC222">
        <v>7.04</v>
      </c>
      <c r="AE222" t="s">
        <v>346</v>
      </c>
      <c r="AF222">
        <v>46.142674</v>
      </c>
      <c r="AG222">
        <v>-115.598088</v>
      </c>
      <c r="AH222">
        <v>14312415</v>
      </c>
    </row>
    <row r="223" spans="2:34">
      <c r="B223" t="s">
        <v>345</v>
      </c>
      <c r="C223" t="s">
        <v>668</v>
      </c>
      <c r="D223" s="3">
        <v>42860.332638888889</v>
      </c>
      <c r="F223">
        <v>2017</v>
      </c>
      <c r="G223" t="s">
        <v>578</v>
      </c>
      <c r="H223" t="s">
        <v>352</v>
      </c>
      <c r="J223">
        <v>0</v>
      </c>
      <c r="L223">
        <v>1</v>
      </c>
      <c r="M223">
        <v>170</v>
      </c>
      <c r="N223">
        <v>44</v>
      </c>
      <c r="O223" t="s">
        <v>575</v>
      </c>
      <c r="Q223" t="s">
        <v>689</v>
      </c>
      <c r="R223" t="s">
        <v>670</v>
      </c>
      <c r="U223">
        <v>8</v>
      </c>
      <c r="V223">
        <v>8</v>
      </c>
      <c r="W223" t="s">
        <v>350</v>
      </c>
      <c r="X223" t="s">
        <v>349</v>
      </c>
      <c r="Y223" t="s">
        <v>580</v>
      </c>
      <c r="Z223">
        <v>2017</v>
      </c>
      <c r="AB223">
        <v>13</v>
      </c>
      <c r="AC223">
        <v>7.04</v>
      </c>
      <c r="AE223" t="s">
        <v>346</v>
      </c>
      <c r="AF223">
        <v>46.142674</v>
      </c>
      <c r="AG223">
        <v>-115.598088</v>
      </c>
      <c r="AH223">
        <v>14312416</v>
      </c>
    </row>
    <row r="224" spans="2:34">
      <c r="B224" t="s">
        <v>345</v>
      </c>
      <c r="C224" t="s">
        <v>668</v>
      </c>
      <c r="D224" s="3">
        <v>42860.332638888889</v>
      </c>
      <c r="F224">
        <v>2017</v>
      </c>
      <c r="G224" t="s">
        <v>578</v>
      </c>
      <c r="H224" t="s">
        <v>352</v>
      </c>
      <c r="J224">
        <v>0</v>
      </c>
      <c r="L224">
        <v>1</v>
      </c>
      <c r="M224">
        <v>187</v>
      </c>
      <c r="N224">
        <v>72</v>
      </c>
      <c r="O224" t="s">
        <v>575</v>
      </c>
      <c r="Q224" t="s">
        <v>576</v>
      </c>
      <c r="R224" t="s">
        <v>670</v>
      </c>
      <c r="U224">
        <v>8</v>
      </c>
      <c r="V224">
        <v>8</v>
      </c>
      <c r="W224" t="s">
        <v>350</v>
      </c>
      <c r="X224" t="s">
        <v>349</v>
      </c>
      <c r="Y224" t="s">
        <v>580</v>
      </c>
      <c r="Z224">
        <v>2017</v>
      </c>
      <c r="AB224">
        <v>13</v>
      </c>
      <c r="AC224">
        <v>7.04</v>
      </c>
      <c r="AE224" t="s">
        <v>346</v>
      </c>
      <c r="AF224">
        <v>46.142674</v>
      </c>
      <c r="AG224">
        <v>-115.598088</v>
      </c>
      <c r="AH224">
        <v>14312417</v>
      </c>
    </row>
    <row r="225" spans="2:34">
      <c r="B225" t="s">
        <v>345</v>
      </c>
      <c r="C225" t="s">
        <v>668</v>
      </c>
      <c r="D225" s="3">
        <v>42860.332638888889</v>
      </c>
      <c r="F225">
        <v>2017</v>
      </c>
      <c r="G225" t="s">
        <v>578</v>
      </c>
      <c r="H225" t="s">
        <v>352</v>
      </c>
      <c r="J225">
        <v>0</v>
      </c>
      <c r="L225">
        <v>1</v>
      </c>
      <c r="M225">
        <v>190</v>
      </c>
      <c r="N225">
        <v>63</v>
      </c>
      <c r="O225" t="s">
        <v>575</v>
      </c>
      <c r="Q225" t="s">
        <v>576</v>
      </c>
      <c r="R225" t="s">
        <v>670</v>
      </c>
      <c r="U225">
        <v>8</v>
      </c>
      <c r="V225">
        <v>8</v>
      </c>
      <c r="W225" t="s">
        <v>350</v>
      </c>
      <c r="X225" t="s">
        <v>349</v>
      </c>
      <c r="Y225" t="s">
        <v>580</v>
      </c>
      <c r="Z225">
        <v>2017</v>
      </c>
      <c r="AB225">
        <v>13</v>
      </c>
      <c r="AC225">
        <v>7.04</v>
      </c>
      <c r="AE225" t="s">
        <v>346</v>
      </c>
      <c r="AF225">
        <v>46.142674</v>
      </c>
      <c r="AG225">
        <v>-115.598088</v>
      </c>
      <c r="AH225">
        <v>14312418</v>
      </c>
    </row>
    <row r="226" spans="2:34">
      <c r="B226" t="s">
        <v>345</v>
      </c>
      <c r="C226" t="s">
        <v>668</v>
      </c>
      <c r="D226" s="3">
        <v>42860.332638888889</v>
      </c>
      <c r="F226">
        <v>2017</v>
      </c>
      <c r="G226" t="s">
        <v>578</v>
      </c>
      <c r="H226" t="s">
        <v>352</v>
      </c>
      <c r="J226">
        <v>0</v>
      </c>
      <c r="L226">
        <v>1</v>
      </c>
      <c r="M226">
        <v>164</v>
      </c>
      <c r="N226">
        <v>37</v>
      </c>
      <c r="O226" t="s">
        <v>575</v>
      </c>
      <c r="Q226" t="s">
        <v>576</v>
      </c>
      <c r="R226" t="s">
        <v>670</v>
      </c>
      <c r="U226">
        <v>8</v>
      </c>
      <c r="V226">
        <v>8</v>
      </c>
      <c r="W226" t="s">
        <v>350</v>
      </c>
      <c r="X226" t="s">
        <v>349</v>
      </c>
      <c r="Y226" t="s">
        <v>580</v>
      </c>
      <c r="Z226">
        <v>2017</v>
      </c>
      <c r="AB226">
        <v>13</v>
      </c>
      <c r="AC226">
        <v>7.04</v>
      </c>
      <c r="AE226" t="s">
        <v>346</v>
      </c>
      <c r="AF226">
        <v>46.142674</v>
      </c>
      <c r="AG226">
        <v>-115.598088</v>
      </c>
      <c r="AH226">
        <v>14312419</v>
      </c>
    </row>
    <row r="227" spans="2:34">
      <c r="B227" t="s">
        <v>345</v>
      </c>
      <c r="C227" t="s">
        <v>640</v>
      </c>
      <c r="D227" s="3">
        <v>42993.486111111109</v>
      </c>
      <c r="F227">
        <v>2017</v>
      </c>
      <c r="G227" t="s">
        <v>605</v>
      </c>
      <c r="H227" t="s">
        <v>352</v>
      </c>
      <c r="J227">
        <v>0</v>
      </c>
      <c r="L227">
        <v>1</v>
      </c>
      <c r="M227">
        <v>38</v>
      </c>
      <c r="N227">
        <v>1</v>
      </c>
      <c r="O227" t="s">
        <v>353</v>
      </c>
      <c r="R227" t="s">
        <v>641</v>
      </c>
      <c r="U227">
        <v>15</v>
      </c>
      <c r="V227">
        <v>15</v>
      </c>
      <c r="W227" t="s">
        <v>350</v>
      </c>
      <c r="X227" t="s">
        <v>349</v>
      </c>
      <c r="Y227" t="s">
        <v>642</v>
      </c>
      <c r="Z227">
        <v>2017</v>
      </c>
      <c r="AB227">
        <v>4</v>
      </c>
      <c r="AC227">
        <v>1.72</v>
      </c>
      <c r="AE227" t="s">
        <v>346</v>
      </c>
      <c r="AF227">
        <v>46.142674</v>
      </c>
      <c r="AG227">
        <v>-115.598088</v>
      </c>
      <c r="AH227">
        <v>14253654</v>
      </c>
    </row>
    <row r="228" spans="2:34">
      <c r="B228" t="s">
        <v>345</v>
      </c>
      <c r="C228" t="s">
        <v>640</v>
      </c>
      <c r="D228" s="3">
        <v>42993.486111111109</v>
      </c>
      <c r="F228">
        <v>2017</v>
      </c>
      <c r="G228" t="s">
        <v>605</v>
      </c>
      <c r="H228" t="s">
        <v>352</v>
      </c>
      <c r="J228">
        <v>0</v>
      </c>
      <c r="L228">
        <v>1</v>
      </c>
      <c r="M228">
        <v>30</v>
      </c>
      <c r="N228">
        <v>0</v>
      </c>
      <c r="O228" t="s">
        <v>353</v>
      </c>
      <c r="R228" t="s">
        <v>641</v>
      </c>
      <c r="U228">
        <v>15</v>
      </c>
      <c r="V228">
        <v>15</v>
      </c>
      <c r="W228" t="s">
        <v>350</v>
      </c>
      <c r="X228" t="s">
        <v>349</v>
      </c>
      <c r="Y228" t="s">
        <v>642</v>
      </c>
      <c r="Z228">
        <v>2017</v>
      </c>
      <c r="AB228">
        <v>4</v>
      </c>
      <c r="AC228">
        <v>1.72</v>
      </c>
      <c r="AE228" t="s">
        <v>346</v>
      </c>
      <c r="AF228">
        <v>46.142674</v>
      </c>
      <c r="AG228">
        <v>-115.598088</v>
      </c>
      <c r="AH228">
        <v>14253655</v>
      </c>
    </row>
    <row r="229" spans="2:34">
      <c r="B229" t="s">
        <v>345</v>
      </c>
      <c r="C229" t="s">
        <v>640</v>
      </c>
      <c r="D229" s="3">
        <v>42993.486111111109</v>
      </c>
      <c r="F229">
        <v>2017</v>
      </c>
      <c r="G229" t="s">
        <v>605</v>
      </c>
      <c r="H229" t="s">
        <v>352</v>
      </c>
      <c r="J229">
        <v>0</v>
      </c>
      <c r="L229">
        <v>1</v>
      </c>
      <c r="M229">
        <v>34</v>
      </c>
      <c r="N229">
        <v>0</v>
      </c>
      <c r="O229" t="s">
        <v>353</v>
      </c>
      <c r="R229" t="s">
        <v>641</v>
      </c>
      <c r="U229">
        <v>15</v>
      </c>
      <c r="V229">
        <v>15</v>
      </c>
      <c r="W229" t="s">
        <v>350</v>
      </c>
      <c r="X229" t="s">
        <v>349</v>
      </c>
      <c r="Y229" t="s">
        <v>642</v>
      </c>
      <c r="Z229">
        <v>2017</v>
      </c>
      <c r="AB229">
        <v>4</v>
      </c>
      <c r="AC229">
        <v>1.72</v>
      </c>
      <c r="AE229" t="s">
        <v>346</v>
      </c>
      <c r="AF229">
        <v>46.142674</v>
      </c>
      <c r="AG229">
        <v>-115.598088</v>
      </c>
      <c r="AH229">
        <v>14253656</v>
      </c>
    </row>
    <row r="230" spans="2:34">
      <c r="B230" t="s">
        <v>345</v>
      </c>
      <c r="C230" t="s">
        <v>640</v>
      </c>
      <c r="D230" s="3">
        <v>42993.486111111109</v>
      </c>
      <c r="F230">
        <v>2017</v>
      </c>
      <c r="G230" t="s">
        <v>605</v>
      </c>
      <c r="H230" t="s">
        <v>352</v>
      </c>
      <c r="J230">
        <v>0</v>
      </c>
      <c r="L230">
        <v>1</v>
      </c>
      <c r="M230">
        <v>31</v>
      </c>
      <c r="N230">
        <v>0</v>
      </c>
      <c r="O230" t="s">
        <v>353</v>
      </c>
      <c r="R230" t="s">
        <v>641</v>
      </c>
      <c r="U230">
        <v>15</v>
      </c>
      <c r="V230">
        <v>15</v>
      </c>
      <c r="W230" t="s">
        <v>350</v>
      </c>
      <c r="X230" t="s">
        <v>349</v>
      </c>
      <c r="Y230" t="s">
        <v>642</v>
      </c>
      <c r="Z230">
        <v>2017</v>
      </c>
      <c r="AB230">
        <v>4</v>
      </c>
      <c r="AC230">
        <v>1.72</v>
      </c>
      <c r="AE230" t="s">
        <v>346</v>
      </c>
      <c r="AF230">
        <v>46.142674</v>
      </c>
      <c r="AG230">
        <v>-115.598088</v>
      </c>
      <c r="AH230">
        <v>14253657</v>
      </c>
    </row>
    <row r="231" spans="2:34">
      <c r="B231" t="s">
        <v>345</v>
      </c>
      <c r="C231" t="s">
        <v>640</v>
      </c>
      <c r="D231" s="3">
        <v>42993.486111111109</v>
      </c>
      <c r="F231">
        <v>2017</v>
      </c>
      <c r="G231" t="s">
        <v>482</v>
      </c>
      <c r="H231" t="s">
        <v>352</v>
      </c>
      <c r="J231">
        <v>0</v>
      </c>
      <c r="L231">
        <v>1</v>
      </c>
      <c r="M231">
        <v>207</v>
      </c>
      <c r="N231">
        <v>96</v>
      </c>
      <c r="O231" t="s">
        <v>353</v>
      </c>
      <c r="R231" t="s">
        <v>641</v>
      </c>
      <c r="U231">
        <v>15</v>
      </c>
      <c r="V231">
        <v>15</v>
      </c>
      <c r="W231" t="s">
        <v>350</v>
      </c>
      <c r="X231" t="s">
        <v>349</v>
      </c>
      <c r="Y231" t="s">
        <v>642</v>
      </c>
      <c r="Z231">
        <v>2017</v>
      </c>
      <c r="AB231">
        <v>4</v>
      </c>
      <c r="AC231">
        <v>1.72</v>
      </c>
      <c r="AE231" t="s">
        <v>346</v>
      </c>
      <c r="AF231">
        <v>46.142674</v>
      </c>
      <c r="AG231">
        <v>-115.598088</v>
      </c>
      <c r="AH231">
        <v>14253658</v>
      </c>
    </row>
    <row r="232" spans="2:34">
      <c r="B232" t="s">
        <v>345</v>
      </c>
      <c r="C232" t="s">
        <v>640</v>
      </c>
      <c r="D232" s="3">
        <v>42993.486111111109</v>
      </c>
      <c r="F232">
        <v>2017</v>
      </c>
      <c r="G232" t="s">
        <v>605</v>
      </c>
      <c r="H232" t="s">
        <v>352</v>
      </c>
      <c r="J232">
        <v>0</v>
      </c>
      <c r="L232">
        <v>1</v>
      </c>
      <c r="M232">
        <v>21</v>
      </c>
      <c r="N232">
        <v>0</v>
      </c>
      <c r="O232" t="s">
        <v>353</v>
      </c>
      <c r="R232" t="s">
        <v>641</v>
      </c>
      <c r="U232">
        <v>15</v>
      </c>
      <c r="V232">
        <v>15</v>
      </c>
      <c r="W232" t="s">
        <v>350</v>
      </c>
      <c r="X232" t="s">
        <v>349</v>
      </c>
      <c r="Y232" t="s">
        <v>642</v>
      </c>
      <c r="Z232">
        <v>2017</v>
      </c>
      <c r="AB232">
        <v>4</v>
      </c>
      <c r="AC232">
        <v>1.72</v>
      </c>
      <c r="AE232" t="s">
        <v>346</v>
      </c>
      <c r="AF232">
        <v>46.142674</v>
      </c>
      <c r="AG232">
        <v>-115.598088</v>
      </c>
      <c r="AH232">
        <v>14253659</v>
      </c>
    </row>
    <row r="233" spans="2:34">
      <c r="B233" t="s">
        <v>345</v>
      </c>
      <c r="C233" t="s">
        <v>640</v>
      </c>
      <c r="D233" s="3">
        <v>42993.486111111109</v>
      </c>
      <c r="F233">
        <v>2017</v>
      </c>
      <c r="G233" t="s">
        <v>605</v>
      </c>
      <c r="H233" t="s">
        <v>352</v>
      </c>
      <c r="J233">
        <v>0</v>
      </c>
      <c r="L233">
        <v>1</v>
      </c>
      <c r="M233">
        <v>35</v>
      </c>
      <c r="N233">
        <v>0</v>
      </c>
      <c r="O233" t="s">
        <v>353</v>
      </c>
      <c r="R233" t="s">
        <v>641</v>
      </c>
      <c r="U233">
        <v>15</v>
      </c>
      <c r="V233">
        <v>15</v>
      </c>
      <c r="W233" t="s">
        <v>350</v>
      </c>
      <c r="X233" t="s">
        <v>349</v>
      </c>
      <c r="Y233" t="s">
        <v>642</v>
      </c>
      <c r="Z233">
        <v>2017</v>
      </c>
      <c r="AB233">
        <v>4</v>
      </c>
      <c r="AC233">
        <v>1.72</v>
      </c>
      <c r="AE233" t="s">
        <v>346</v>
      </c>
      <c r="AF233">
        <v>46.142674</v>
      </c>
      <c r="AG233">
        <v>-115.598088</v>
      </c>
      <c r="AH233">
        <v>14253660</v>
      </c>
    </row>
    <row r="234" spans="2:34">
      <c r="B234" t="s">
        <v>345</v>
      </c>
      <c r="C234" t="s">
        <v>640</v>
      </c>
      <c r="D234" s="3">
        <v>42993.486111111109</v>
      </c>
      <c r="F234">
        <v>2017</v>
      </c>
      <c r="G234" t="s">
        <v>605</v>
      </c>
      <c r="H234" t="s">
        <v>352</v>
      </c>
      <c r="J234">
        <v>0</v>
      </c>
      <c r="L234">
        <v>1</v>
      </c>
      <c r="M234">
        <v>23</v>
      </c>
      <c r="N234">
        <v>0</v>
      </c>
      <c r="O234" t="s">
        <v>353</v>
      </c>
      <c r="R234" t="s">
        <v>641</v>
      </c>
      <c r="U234">
        <v>15</v>
      </c>
      <c r="V234">
        <v>15</v>
      </c>
      <c r="W234" t="s">
        <v>350</v>
      </c>
      <c r="X234" t="s">
        <v>349</v>
      </c>
      <c r="Y234" t="s">
        <v>642</v>
      </c>
      <c r="Z234">
        <v>2017</v>
      </c>
      <c r="AB234">
        <v>4</v>
      </c>
      <c r="AC234">
        <v>1.72</v>
      </c>
      <c r="AE234" t="s">
        <v>346</v>
      </c>
      <c r="AF234">
        <v>46.142674</v>
      </c>
      <c r="AG234">
        <v>-115.598088</v>
      </c>
      <c r="AH234">
        <v>14253661</v>
      </c>
    </row>
    <row r="235" spans="2:34">
      <c r="B235" t="s">
        <v>345</v>
      </c>
      <c r="C235" t="s">
        <v>640</v>
      </c>
      <c r="D235" s="3">
        <v>42993.486111111109</v>
      </c>
      <c r="F235">
        <v>2017</v>
      </c>
      <c r="G235" t="s">
        <v>605</v>
      </c>
      <c r="H235" t="s">
        <v>352</v>
      </c>
      <c r="J235">
        <v>0</v>
      </c>
      <c r="L235">
        <v>1</v>
      </c>
      <c r="M235">
        <v>34</v>
      </c>
      <c r="N235">
        <v>0</v>
      </c>
      <c r="O235" t="s">
        <v>353</v>
      </c>
      <c r="R235" t="s">
        <v>641</v>
      </c>
      <c r="U235">
        <v>15</v>
      </c>
      <c r="V235">
        <v>15</v>
      </c>
      <c r="W235" t="s">
        <v>350</v>
      </c>
      <c r="X235" t="s">
        <v>349</v>
      </c>
      <c r="Y235" t="s">
        <v>642</v>
      </c>
      <c r="Z235">
        <v>2017</v>
      </c>
      <c r="AB235">
        <v>4</v>
      </c>
      <c r="AC235">
        <v>1.72</v>
      </c>
      <c r="AE235" t="s">
        <v>346</v>
      </c>
      <c r="AF235">
        <v>46.142674</v>
      </c>
      <c r="AG235">
        <v>-115.598088</v>
      </c>
      <c r="AH235">
        <v>14253662</v>
      </c>
    </row>
    <row r="236" spans="2:34">
      <c r="B236" t="s">
        <v>345</v>
      </c>
      <c r="C236" t="s">
        <v>690</v>
      </c>
      <c r="D236" s="3">
        <v>42948.659722222219</v>
      </c>
      <c r="F236">
        <v>2017</v>
      </c>
      <c r="G236" t="s">
        <v>605</v>
      </c>
      <c r="H236" t="s">
        <v>352</v>
      </c>
      <c r="J236">
        <v>0</v>
      </c>
      <c r="L236">
        <v>20</v>
      </c>
      <c r="M236">
        <v>0</v>
      </c>
      <c r="N236">
        <v>0</v>
      </c>
      <c r="O236" t="s">
        <v>606</v>
      </c>
      <c r="R236" t="s">
        <v>691</v>
      </c>
      <c r="U236">
        <v>25</v>
      </c>
      <c r="V236">
        <v>25</v>
      </c>
      <c r="W236" t="s">
        <v>350</v>
      </c>
      <c r="X236" t="s">
        <v>349</v>
      </c>
      <c r="Y236" t="s">
        <v>348</v>
      </c>
      <c r="Z236">
        <v>2017</v>
      </c>
      <c r="AB236">
        <v>5</v>
      </c>
      <c r="AC236">
        <v>2.2000000000000002</v>
      </c>
      <c r="AE236" t="s">
        <v>346</v>
      </c>
      <c r="AF236">
        <v>46.142674</v>
      </c>
      <c r="AG236">
        <v>-115.598088</v>
      </c>
      <c r="AH236">
        <v>14299701</v>
      </c>
    </row>
    <row r="237" spans="2:34">
      <c r="B237" t="s">
        <v>345</v>
      </c>
      <c r="C237" t="s">
        <v>690</v>
      </c>
      <c r="D237" s="3">
        <v>42948.659722222219</v>
      </c>
      <c r="F237">
        <v>2017</v>
      </c>
      <c r="G237" t="s">
        <v>611</v>
      </c>
      <c r="H237" t="s">
        <v>352</v>
      </c>
      <c r="J237">
        <v>0</v>
      </c>
      <c r="L237">
        <v>1</v>
      </c>
      <c r="M237">
        <v>0</v>
      </c>
      <c r="N237">
        <v>0</v>
      </c>
      <c r="O237" t="s">
        <v>643</v>
      </c>
      <c r="R237" t="s">
        <v>691</v>
      </c>
      <c r="U237">
        <v>25</v>
      </c>
      <c r="V237">
        <v>25</v>
      </c>
      <c r="W237" t="s">
        <v>350</v>
      </c>
      <c r="X237" t="s">
        <v>349</v>
      </c>
      <c r="Y237" t="s">
        <v>348</v>
      </c>
      <c r="Z237">
        <v>2017</v>
      </c>
      <c r="AB237">
        <v>5</v>
      </c>
      <c r="AC237">
        <v>2.2000000000000002</v>
      </c>
      <c r="AE237" t="s">
        <v>346</v>
      </c>
      <c r="AF237">
        <v>46.142674</v>
      </c>
      <c r="AG237">
        <v>-115.598088</v>
      </c>
      <c r="AH237">
        <v>14299702</v>
      </c>
    </row>
    <row r="238" spans="2:34">
      <c r="B238" t="s">
        <v>345</v>
      </c>
      <c r="C238" t="s">
        <v>692</v>
      </c>
      <c r="D238" s="3">
        <v>43008.40347222222</v>
      </c>
      <c r="F238">
        <v>2017</v>
      </c>
      <c r="G238" t="s">
        <v>615</v>
      </c>
      <c r="H238" t="s">
        <v>352</v>
      </c>
      <c r="J238">
        <v>0</v>
      </c>
      <c r="L238">
        <v>1</v>
      </c>
      <c r="M238">
        <v>267</v>
      </c>
      <c r="N238">
        <v>0</v>
      </c>
      <c r="O238" t="s">
        <v>353</v>
      </c>
      <c r="R238" t="s">
        <v>693</v>
      </c>
      <c r="U238">
        <v>12</v>
      </c>
      <c r="V238">
        <v>12</v>
      </c>
      <c r="W238" t="s">
        <v>350</v>
      </c>
      <c r="X238" t="s">
        <v>349</v>
      </c>
      <c r="Y238" t="s">
        <v>642</v>
      </c>
      <c r="Z238">
        <v>2017</v>
      </c>
      <c r="AB238">
        <v>8</v>
      </c>
      <c r="AC238">
        <v>1.93</v>
      </c>
      <c r="AE238" t="s">
        <v>346</v>
      </c>
      <c r="AF238">
        <v>46.142674</v>
      </c>
      <c r="AG238">
        <v>-115.598088</v>
      </c>
      <c r="AH238">
        <v>14302173</v>
      </c>
    </row>
    <row r="239" spans="2:34">
      <c r="B239" t="s">
        <v>345</v>
      </c>
      <c r="C239" t="s">
        <v>692</v>
      </c>
      <c r="D239" s="3">
        <v>43008.40347222222</v>
      </c>
      <c r="F239">
        <v>2017</v>
      </c>
      <c r="G239" t="s">
        <v>482</v>
      </c>
      <c r="H239" t="s">
        <v>352</v>
      </c>
      <c r="J239">
        <v>0</v>
      </c>
      <c r="L239">
        <v>1</v>
      </c>
      <c r="M239">
        <v>188</v>
      </c>
      <c r="N239">
        <v>73</v>
      </c>
      <c r="O239" t="s">
        <v>353</v>
      </c>
      <c r="R239" t="s">
        <v>693</v>
      </c>
      <c r="U239">
        <v>12</v>
      </c>
      <c r="V239">
        <v>12</v>
      </c>
      <c r="W239" t="s">
        <v>350</v>
      </c>
      <c r="X239" t="s">
        <v>349</v>
      </c>
      <c r="Y239" t="s">
        <v>642</v>
      </c>
      <c r="Z239">
        <v>2017</v>
      </c>
      <c r="AB239">
        <v>8</v>
      </c>
      <c r="AC239">
        <v>1.93</v>
      </c>
      <c r="AE239" t="s">
        <v>346</v>
      </c>
      <c r="AF239">
        <v>46.142674</v>
      </c>
      <c r="AG239">
        <v>-115.598088</v>
      </c>
      <c r="AH239">
        <v>14302174</v>
      </c>
    </row>
    <row r="240" spans="2:34">
      <c r="B240" t="s">
        <v>345</v>
      </c>
      <c r="C240" t="s">
        <v>692</v>
      </c>
      <c r="D240" s="3">
        <v>43008.40347222222</v>
      </c>
      <c r="F240">
        <v>2017</v>
      </c>
      <c r="G240" t="s">
        <v>604</v>
      </c>
      <c r="H240" t="s">
        <v>352</v>
      </c>
      <c r="J240">
        <v>0</v>
      </c>
      <c r="L240">
        <v>1</v>
      </c>
      <c r="M240">
        <v>460</v>
      </c>
      <c r="N240">
        <v>0</v>
      </c>
      <c r="O240" t="s">
        <v>353</v>
      </c>
      <c r="R240" t="s">
        <v>693</v>
      </c>
      <c r="U240">
        <v>12</v>
      </c>
      <c r="V240">
        <v>12</v>
      </c>
      <c r="W240" t="s">
        <v>350</v>
      </c>
      <c r="X240" t="s">
        <v>349</v>
      </c>
      <c r="Y240" t="s">
        <v>642</v>
      </c>
      <c r="Z240">
        <v>2017</v>
      </c>
      <c r="AB240">
        <v>8</v>
      </c>
      <c r="AC240">
        <v>1.93</v>
      </c>
      <c r="AE240" t="s">
        <v>346</v>
      </c>
      <c r="AF240">
        <v>46.142674</v>
      </c>
      <c r="AG240">
        <v>-115.598088</v>
      </c>
      <c r="AH240">
        <v>14302175</v>
      </c>
    </row>
    <row r="241" spans="2:34">
      <c r="B241" t="s">
        <v>345</v>
      </c>
      <c r="C241" t="s">
        <v>692</v>
      </c>
      <c r="D241" s="3">
        <v>43008.40347222222</v>
      </c>
      <c r="F241">
        <v>2017</v>
      </c>
      <c r="G241" t="s">
        <v>604</v>
      </c>
      <c r="H241" t="s">
        <v>352</v>
      </c>
      <c r="J241">
        <v>0</v>
      </c>
      <c r="L241">
        <v>1</v>
      </c>
      <c r="M241">
        <v>405</v>
      </c>
      <c r="N241">
        <v>0</v>
      </c>
      <c r="O241" t="s">
        <v>353</v>
      </c>
      <c r="R241" t="s">
        <v>693</v>
      </c>
      <c r="U241">
        <v>12</v>
      </c>
      <c r="V241">
        <v>12</v>
      </c>
      <c r="W241" t="s">
        <v>350</v>
      </c>
      <c r="X241" t="s">
        <v>349</v>
      </c>
      <c r="Y241" t="s">
        <v>642</v>
      </c>
      <c r="Z241">
        <v>2017</v>
      </c>
      <c r="AB241">
        <v>8</v>
      </c>
      <c r="AC241">
        <v>1.93</v>
      </c>
      <c r="AE241" t="s">
        <v>346</v>
      </c>
      <c r="AF241">
        <v>46.142674</v>
      </c>
      <c r="AG241">
        <v>-115.598088</v>
      </c>
      <c r="AH241">
        <v>14302176</v>
      </c>
    </row>
    <row r="242" spans="2:34">
      <c r="B242" t="s">
        <v>345</v>
      </c>
      <c r="C242" t="s">
        <v>692</v>
      </c>
      <c r="D242" s="3">
        <v>43008.40347222222</v>
      </c>
      <c r="F242">
        <v>2017</v>
      </c>
      <c r="G242" t="s">
        <v>605</v>
      </c>
      <c r="H242" t="s">
        <v>352</v>
      </c>
      <c r="J242">
        <v>0</v>
      </c>
      <c r="L242">
        <v>4</v>
      </c>
      <c r="M242">
        <v>0</v>
      </c>
      <c r="N242">
        <v>0</v>
      </c>
      <c r="O242" t="s">
        <v>606</v>
      </c>
      <c r="R242" t="s">
        <v>693</v>
      </c>
      <c r="U242">
        <v>12</v>
      </c>
      <c r="V242">
        <v>12</v>
      </c>
      <c r="W242" t="s">
        <v>350</v>
      </c>
      <c r="X242" t="s">
        <v>349</v>
      </c>
      <c r="Y242" t="s">
        <v>642</v>
      </c>
      <c r="Z242">
        <v>2017</v>
      </c>
      <c r="AB242">
        <v>8</v>
      </c>
      <c r="AC242">
        <v>1.93</v>
      </c>
      <c r="AE242" t="s">
        <v>346</v>
      </c>
      <c r="AF242">
        <v>46.142674</v>
      </c>
      <c r="AG242">
        <v>-115.598088</v>
      </c>
      <c r="AH242">
        <v>14302177</v>
      </c>
    </row>
    <row r="243" spans="2:34">
      <c r="B243" t="s">
        <v>345</v>
      </c>
      <c r="C243" t="s">
        <v>694</v>
      </c>
      <c r="D243" s="3">
        <v>42872.478472222225</v>
      </c>
      <c r="F243">
        <v>2017</v>
      </c>
      <c r="G243" t="s">
        <v>578</v>
      </c>
      <c r="H243" t="s">
        <v>352</v>
      </c>
      <c r="J243">
        <v>0</v>
      </c>
      <c r="L243">
        <v>1</v>
      </c>
      <c r="M243">
        <v>176</v>
      </c>
      <c r="N243">
        <v>83</v>
      </c>
      <c r="O243" t="s">
        <v>575</v>
      </c>
      <c r="Q243" t="s">
        <v>695</v>
      </c>
      <c r="R243" t="s">
        <v>696</v>
      </c>
      <c r="U243">
        <v>5.5</v>
      </c>
      <c r="V243">
        <v>5</v>
      </c>
      <c r="W243" t="s">
        <v>350</v>
      </c>
      <c r="X243" t="s">
        <v>349</v>
      </c>
      <c r="Y243" t="s">
        <v>697</v>
      </c>
      <c r="Z243">
        <v>2017</v>
      </c>
      <c r="AB243">
        <v>14</v>
      </c>
      <c r="AC243">
        <v>6.46</v>
      </c>
      <c r="AE243" t="s">
        <v>346</v>
      </c>
      <c r="AF243">
        <v>46.142674</v>
      </c>
      <c r="AG243">
        <v>-115.598088</v>
      </c>
      <c r="AH243">
        <v>14303324</v>
      </c>
    </row>
    <row r="244" spans="2:34">
      <c r="B244" t="s">
        <v>345</v>
      </c>
      <c r="C244" t="s">
        <v>698</v>
      </c>
      <c r="D244" s="3">
        <v>42975.688888888886</v>
      </c>
      <c r="F244">
        <v>2017</v>
      </c>
      <c r="G244" t="s">
        <v>604</v>
      </c>
      <c r="H244" t="s">
        <v>352</v>
      </c>
      <c r="J244">
        <v>0</v>
      </c>
      <c r="L244">
        <v>1</v>
      </c>
      <c r="M244">
        <v>0</v>
      </c>
      <c r="N244">
        <v>0</v>
      </c>
      <c r="O244" t="s">
        <v>643</v>
      </c>
      <c r="R244" t="s">
        <v>603</v>
      </c>
      <c r="U244">
        <v>25</v>
      </c>
      <c r="V244">
        <v>25</v>
      </c>
      <c r="W244" t="s">
        <v>350</v>
      </c>
      <c r="X244" t="s">
        <v>349</v>
      </c>
      <c r="Y244" t="s">
        <v>348</v>
      </c>
      <c r="Z244">
        <v>2017</v>
      </c>
      <c r="AB244">
        <v>4</v>
      </c>
      <c r="AC244">
        <v>1.84</v>
      </c>
      <c r="AE244" t="s">
        <v>346</v>
      </c>
      <c r="AF244">
        <v>46.142674</v>
      </c>
      <c r="AG244">
        <v>-115.598088</v>
      </c>
      <c r="AH244">
        <v>14350738</v>
      </c>
    </row>
    <row r="245" spans="2:34">
      <c r="B245" t="s">
        <v>345</v>
      </c>
      <c r="C245" t="s">
        <v>698</v>
      </c>
      <c r="D245" s="3">
        <v>42975.688888888886</v>
      </c>
      <c r="F245">
        <v>2017</v>
      </c>
      <c r="G245" t="s">
        <v>605</v>
      </c>
      <c r="H245" t="s">
        <v>352</v>
      </c>
      <c r="J245">
        <v>0</v>
      </c>
      <c r="L245">
        <v>30</v>
      </c>
      <c r="M245">
        <v>0</v>
      </c>
      <c r="N245">
        <v>0</v>
      </c>
      <c r="O245" t="s">
        <v>606</v>
      </c>
      <c r="R245" t="s">
        <v>603</v>
      </c>
      <c r="U245">
        <v>25</v>
      </c>
      <c r="V245">
        <v>25</v>
      </c>
      <c r="W245" t="s">
        <v>350</v>
      </c>
      <c r="X245" t="s">
        <v>349</v>
      </c>
      <c r="Y245" t="s">
        <v>348</v>
      </c>
      <c r="Z245">
        <v>2017</v>
      </c>
      <c r="AB245">
        <v>4</v>
      </c>
      <c r="AC245">
        <v>1.84</v>
      </c>
      <c r="AE245" t="s">
        <v>346</v>
      </c>
      <c r="AF245">
        <v>46.142674</v>
      </c>
      <c r="AG245">
        <v>-115.598088</v>
      </c>
      <c r="AH245">
        <v>14350739</v>
      </c>
    </row>
    <row r="246" spans="2:34">
      <c r="B246" t="s">
        <v>345</v>
      </c>
      <c r="C246" t="s">
        <v>699</v>
      </c>
      <c r="D246" s="3">
        <v>42831.3125</v>
      </c>
      <c r="F246">
        <v>2017</v>
      </c>
      <c r="G246" t="s">
        <v>578</v>
      </c>
      <c r="H246" t="s">
        <v>352</v>
      </c>
      <c r="J246">
        <v>0</v>
      </c>
      <c r="L246">
        <v>1</v>
      </c>
      <c r="M246">
        <v>194</v>
      </c>
      <c r="N246">
        <v>67</v>
      </c>
      <c r="O246" t="s">
        <v>575</v>
      </c>
      <c r="Q246" t="s">
        <v>700</v>
      </c>
      <c r="U246">
        <v>5</v>
      </c>
      <c r="V246">
        <v>5</v>
      </c>
      <c r="W246" t="s">
        <v>350</v>
      </c>
      <c r="X246" t="s">
        <v>349</v>
      </c>
      <c r="Y246" t="s">
        <v>580</v>
      </c>
      <c r="Z246">
        <v>2017</v>
      </c>
      <c r="AB246">
        <v>13</v>
      </c>
      <c r="AC246">
        <v>5.39</v>
      </c>
      <c r="AE246" t="s">
        <v>346</v>
      </c>
      <c r="AF246">
        <v>46.142674</v>
      </c>
      <c r="AG246">
        <v>-115.598088</v>
      </c>
      <c r="AH246">
        <v>14150817</v>
      </c>
    </row>
    <row r="247" spans="2:34">
      <c r="B247" t="s">
        <v>345</v>
      </c>
      <c r="C247" t="s">
        <v>699</v>
      </c>
      <c r="D247" s="3">
        <v>42831.3125</v>
      </c>
      <c r="F247">
        <v>2017</v>
      </c>
      <c r="G247" t="s">
        <v>578</v>
      </c>
      <c r="H247" t="s">
        <v>352</v>
      </c>
      <c r="J247">
        <v>0</v>
      </c>
      <c r="L247">
        <v>1</v>
      </c>
      <c r="M247">
        <v>180</v>
      </c>
      <c r="N247">
        <v>48</v>
      </c>
      <c r="O247" t="s">
        <v>575</v>
      </c>
      <c r="Q247" t="s">
        <v>701</v>
      </c>
      <c r="U247">
        <v>5</v>
      </c>
      <c r="V247">
        <v>5</v>
      </c>
      <c r="W247" t="s">
        <v>350</v>
      </c>
      <c r="X247" t="s">
        <v>349</v>
      </c>
      <c r="Y247" t="s">
        <v>580</v>
      </c>
      <c r="Z247">
        <v>2017</v>
      </c>
      <c r="AB247">
        <v>13</v>
      </c>
      <c r="AC247">
        <v>5.39</v>
      </c>
      <c r="AE247" t="s">
        <v>346</v>
      </c>
      <c r="AF247">
        <v>46.142674</v>
      </c>
      <c r="AG247">
        <v>-115.598088</v>
      </c>
      <c r="AH247">
        <v>14150818</v>
      </c>
    </row>
    <row r="248" spans="2:34">
      <c r="B248" t="s">
        <v>345</v>
      </c>
      <c r="C248" t="s">
        <v>699</v>
      </c>
      <c r="D248" s="3">
        <v>42831.3125</v>
      </c>
      <c r="F248">
        <v>2017</v>
      </c>
      <c r="G248" t="s">
        <v>574</v>
      </c>
      <c r="H248" t="s">
        <v>352</v>
      </c>
      <c r="J248">
        <v>0</v>
      </c>
      <c r="L248">
        <v>1</v>
      </c>
      <c r="M248">
        <v>99</v>
      </c>
      <c r="N248">
        <v>10</v>
      </c>
      <c r="O248" t="s">
        <v>575</v>
      </c>
      <c r="Q248" t="s">
        <v>576</v>
      </c>
      <c r="U248">
        <v>5</v>
      </c>
      <c r="V248">
        <v>5</v>
      </c>
      <c r="W248" t="s">
        <v>350</v>
      </c>
      <c r="X248" t="s">
        <v>349</v>
      </c>
      <c r="Y248" t="s">
        <v>580</v>
      </c>
      <c r="Z248">
        <v>2017</v>
      </c>
      <c r="AB248">
        <v>13</v>
      </c>
      <c r="AC248">
        <v>5.39</v>
      </c>
      <c r="AE248" t="s">
        <v>346</v>
      </c>
      <c r="AF248">
        <v>46.142674</v>
      </c>
      <c r="AG248">
        <v>-115.598088</v>
      </c>
      <c r="AH248">
        <v>14150819</v>
      </c>
    </row>
    <row r="249" spans="2:34">
      <c r="B249" t="s">
        <v>345</v>
      </c>
      <c r="C249" t="s">
        <v>699</v>
      </c>
      <c r="D249" s="3">
        <v>42831.3125</v>
      </c>
      <c r="F249">
        <v>2017</v>
      </c>
      <c r="G249" t="s">
        <v>351</v>
      </c>
      <c r="H249" t="s">
        <v>352</v>
      </c>
      <c r="J249">
        <v>0</v>
      </c>
      <c r="L249">
        <v>1</v>
      </c>
      <c r="M249">
        <v>129</v>
      </c>
      <c r="N249">
        <v>4</v>
      </c>
      <c r="O249" t="s">
        <v>353</v>
      </c>
      <c r="U249">
        <v>5</v>
      </c>
      <c r="V249">
        <v>5</v>
      </c>
      <c r="W249" t="s">
        <v>350</v>
      </c>
      <c r="X249" t="s">
        <v>349</v>
      </c>
      <c r="Y249" t="s">
        <v>580</v>
      </c>
      <c r="Z249">
        <v>2017</v>
      </c>
      <c r="AB249">
        <v>13</v>
      </c>
      <c r="AC249">
        <v>5.39</v>
      </c>
      <c r="AE249" t="s">
        <v>346</v>
      </c>
      <c r="AF249">
        <v>46.142674</v>
      </c>
      <c r="AG249">
        <v>-115.598088</v>
      </c>
      <c r="AH249">
        <v>14150820</v>
      </c>
    </row>
    <row r="250" spans="2:34">
      <c r="B250" t="s">
        <v>345</v>
      </c>
      <c r="C250" t="s">
        <v>699</v>
      </c>
      <c r="D250" s="3">
        <v>42831.3125</v>
      </c>
      <c r="F250">
        <v>2017</v>
      </c>
      <c r="G250" t="s">
        <v>578</v>
      </c>
      <c r="H250" t="s">
        <v>352</v>
      </c>
      <c r="J250">
        <v>0</v>
      </c>
      <c r="L250">
        <v>1</v>
      </c>
      <c r="M250">
        <v>161</v>
      </c>
      <c r="N250">
        <v>43</v>
      </c>
      <c r="O250" t="s">
        <v>702</v>
      </c>
      <c r="P250" t="s">
        <v>635</v>
      </c>
      <c r="Q250" t="s">
        <v>703</v>
      </c>
      <c r="U250">
        <v>5</v>
      </c>
      <c r="V250">
        <v>5</v>
      </c>
      <c r="W250" t="s">
        <v>350</v>
      </c>
      <c r="X250" t="s">
        <v>349</v>
      </c>
      <c r="Y250" t="s">
        <v>580</v>
      </c>
      <c r="Z250">
        <v>2017</v>
      </c>
      <c r="AB250">
        <v>13</v>
      </c>
      <c r="AC250">
        <v>5.39</v>
      </c>
      <c r="AE250" t="s">
        <v>346</v>
      </c>
      <c r="AF250">
        <v>46.142674</v>
      </c>
      <c r="AG250">
        <v>-115.598088</v>
      </c>
      <c r="AH250">
        <v>14150821</v>
      </c>
    </row>
    <row r="251" spans="2:34">
      <c r="B251" t="s">
        <v>345</v>
      </c>
      <c r="C251" t="s">
        <v>704</v>
      </c>
      <c r="D251" s="3">
        <v>42827.290277777778</v>
      </c>
      <c r="F251">
        <v>2017</v>
      </c>
      <c r="G251" t="s">
        <v>578</v>
      </c>
      <c r="H251" t="s">
        <v>352</v>
      </c>
      <c r="J251">
        <v>0</v>
      </c>
      <c r="L251">
        <v>1</v>
      </c>
      <c r="M251">
        <v>143</v>
      </c>
      <c r="N251">
        <v>27</v>
      </c>
      <c r="O251" t="s">
        <v>575</v>
      </c>
      <c r="Q251" t="s">
        <v>705</v>
      </c>
      <c r="U251">
        <v>5</v>
      </c>
      <c r="V251">
        <v>5</v>
      </c>
      <c r="W251" t="s">
        <v>350</v>
      </c>
      <c r="X251" t="s">
        <v>349</v>
      </c>
      <c r="Y251" t="s">
        <v>348</v>
      </c>
      <c r="Z251">
        <v>2017</v>
      </c>
      <c r="AB251">
        <v>11</v>
      </c>
      <c r="AC251">
        <v>5.98</v>
      </c>
      <c r="AE251" t="s">
        <v>346</v>
      </c>
      <c r="AF251">
        <v>46.142674</v>
      </c>
      <c r="AG251">
        <v>-115.598088</v>
      </c>
      <c r="AH251">
        <v>14153513</v>
      </c>
    </row>
    <row r="252" spans="2:34">
      <c r="B252" t="s">
        <v>345</v>
      </c>
      <c r="C252" t="s">
        <v>704</v>
      </c>
      <c r="D252" s="3">
        <v>42827.290277777778</v>
      </c>
      <c r="F252">
        <v>2017</v>
      </c>
      <c r="G252" t="s">
        <v>574</v>
      </c>
      <c r="H252" t="s">
        <v>352</v>
      </c>
      <c r="J252">
        <v>0</v>
      </c>
      <c r="L252">
        <v>1</v>
      </c>
      <c r="M252">
        <v>78</v>
      </c>
      <c r="N252">
        <v>4</v>
      </c>
      <c r="O252" t="s">
        <v>575</v>
      </c>
      <c r="Q252" t="s">
        <v>576</v>
      </c>
      <c r="U252">
        <v>5</v>
      </c>
      <c r="V252">
        <v>5</v>
      </c>
      <c r="W252" t="s">
        <v>350</v>
      </c>
      <c r="X252" t="s">
        <v>349</v>
      </c>
      <c r="Y252" t="s">
        <v>348</v>
      </c>
      <c r="Z252">
        <v>2017</v>
      </c>
      <c r="AB252">
        <v>11</v>
      </c>
      <c r="AC252">
        <v>5.98</v>
      </c>
      <c r="AE252" t="s">
        <v>346</v>
      </c>
      <c r="AF252">
        <v>46.142674</v>
      </c>
      <c r="AG252">
        <v>-115.598088</v>
      </c>
      <c r="AH252">
        <v>14153514</v>
      </c>
    </row>
    <row r="253" spans="2:34">
      <c r="B253" t="s">
        <v>345</v>
      </c>
      <c r="C253" t="s">
        <v>704</v>
      </c>
      <c r="D253" s="3">
        <v>42827.290277777778</v>
      </c>
      <c r="F253">
        <v>2017</v>
      </c>
      <c r="G253" t="s">
        <v>574</v>
      </c>
      <c r="H253" t="s">
        <v>352</v>
      </c>
      <c r="J253">
        <v>0</v>
      </c>
      <c r="L253">
        <v>1</v>
      </c>
      <c r="M253">
        <v>83</v>
      </c>
      <c r="N253">
        <v>6</v>
      </c>
      <c r="O253" t="s">
        <v>575</v>
      </c>
      <c r="Q253" t="s">
        <v>576</v>
      </c>
      <c r="U253">
        <v>5</v>
      </c>
      <c r="V253">
        <v>5</v>
      </c>
      <c r="W253" t="s">
        <v>350</v>
      </c>
      <c r="X253" t="s">
        <v>349</v>
      </c>
      <c r="Y253" t="s">
        <v>348</v>
      </c>
      <c r="Z253">
        <v>2017</v>
      </c>
      <c r="AB253">
        <v>11</v>
      </c>
      <c r="AC253">
        <v>5.98</v>
      </c>
      <c r="AE253" t="s">
        <v>346</v>
      </c>
      <c r="AF253">
        <v>46.142674</v>
      </c>
      <c r="AG253">
        <v>-115.598088</v>
      </c>
      <c r="AH253">
        <v>14153515</v>
      </c>
    </row>
    <row r="254" spans="2:34">
      <c r="B254" t="s">
        <v>345</v>
      </c>
      <c r="C254" t="s">
        <v>706</v>
      </c>
      <c r="D254" s="3">
        <v>42990.427777777775</v>
      </c>
      <c r="F254">
        <v>2017</v>
      </c>
      <c r="G254" t="s">
        <v>602</v>
      </c>
      <c r="H254" t="s">
        <v>352</v>
      </c>
      <c r="J254">
        <v>0</v>
      </c>
      <c r="L254">
        <v>1</v>
      </c>
      <c r="O254" t="s">
        <v>643</v>
      </c>
      <c r="R254" t="s">
        <v>707</v>
      </c>
      <c r="U254">
        <v>25</v>
      </c>
      <c r="V254">
        <v>18</v>
      </c>
      <c r="W254" t="s">
        <v>350</v>
      </c>
      <c r="X254" t="s">
        <v>349</v>
      </c>
      <c r="Y254" t="s">
        <v>697</v>
      </c>
      <c r="Z254">
        <v>2017</v>
      </c>
      <c r="AB254">
        <v>3</v>
      </c>
      <c r="AC254">
        <v>1.72</v>
      </c>
      <c r="AE254" t="s">
        <v>346</v>
      </c>
      <c r="AF254">
        <v>46.142674</v>
      </c>
      <c r="AG254">
        <v>-115.598088</v>
      </c>
      <c r="AH254">
        <v>14188600</v>
      </c>
    </row>
    <row r="255" spans="2:34">
      <c r="B255" t="s">
        <v>345</v>
      </c>
      <c r="C255" t="s">
        <v>706</v>
      </c>
      <c r="D255" s="3">
        <v>42990.427777777775</v>
      </c>
      <c r="F255">
        <v>2017</v>
      </c>
      <c r="G255" t="s">
        <v>605</v>
      </c>
      <c r="H255" t="s">
        <v>352</v>
      </c>
      <c r="J255">
        <v>0</v>
      </c>
      <c r="L255">
        <v>43</v>
      </c>
      <c r="O255" t="s">
        <v>643</v>
      </c>
      <c r="R255" t="s">
        <v>707</v>
      </c>
      <c r="U255">
        <v>25</v>
      </c>
      <c r="V255">
        <v>18</v>
      </c>
      <c r="W255" t="s">
        <v>350</v>
      </c>
      <c r="X255" t="s">
        <v>349</v>
      </c>
      <c r="Y255" t="s">
        <v>697</v>
      </c>
      <c r="Z255">
        <v>2017</v>
      </c>
      <c r="AB255">
        <v>3</v>
      </c>
      <c r="AC255">
        <v>1.72</v>
      </c>
      <c r="AE255" t="s">
        <v>346</v>
      </c>
      <c r="AF255">
        <v>46.142674</v>
      </c>
      <c r="AG255">
        <v>-115.598088</v>
      </c>
      <c r="AH255">
        <v>14188601</v>
      </c>
    </row>
    <row r="256" spans="2:34">
      <c r="B256" t="s">
        <v>345</v>
      </c>
      <c r="C256" t="s">
        <v>708</v>
      </c>
      <c r="D256" s="3">
        <v>43022.502083333333</v>
      </c>
      <c r="F256">
        <v>2017</v>
      </c>
      <c r="G256" t="s">
        <v>605</v>
      </c>
      <c r="H256" t="s">
        <v>352</v>
      </c>
      <c r="J256">
        <v>0</v>
      </c>
      <c r="L256">
        <v>1</v>
      </c>
      <c r="M256">
        <v>0</v>
      </c>
      <c r="N256">
        <v>0</v>
      </c>
      <c r="O256" t="s">
        <v>353</v>
      </c>
      <c r="R256" t="s">
        <v>709</v>
      </c>
      <c r="U256">
        <v>8</v>
      </c>
      <c r="V256">
        <v>8</v>
      </c>
      <c r="W256" t="s">
        <v>350</v>
      </c>
      <c r="X256" t="s">
        <v>349</v>
      </c>
      <c r="Y256" t="s">
        <v>710</v>
      </c>
      <c r="Z256">
        <v>2017</v>
      </c>
      <c r="AB256">
        <v>6</v>
      </c>
      <c r="AC256">
        <v>2.04</v>
      </c>
      <c r="AE256" t="s">
        <v>346</v>
      </c>
      <c r="AF256">
        <v>46.142674</v>
      </c>
      <c r="AG256">
        <v>-115.598088</v>
      </c>
      <c r="AH256">
        <v>14281559</v>
      </c>
    </row>
    <row r="257" spans="2:35">
      <c r="B257" t="s">
        <v>345</v>
      </c>
      <c r="C257" t="s">
        <v>708</v>
      </c>
      <c r="D257" s="3">
        <v>43022.502083333333</v>
      </c>
      <c r="F257">
        <v>2017</v>
      </c>
      <c r="G257" t="s">
        <v>711</v>
      </c>
      <c r="H257" t="s">
        <v>352</v>
      </c>
      <c r="J257">
        <v>0</v>
      </c>
      <c r="L257">
        <v>1</v>
      </c>
      <c r="M257">
        <v>410</v>
      </c>
      <c r="N257">
        <v>300</v>
      </c>
      <c r="O257" t="s">
        <v>353</v>
      </c>
      <c r="R257" t="s">
        <v>709</v>
      </c>
      <c r="U257">
        <v>8</v>
      </c>
      <c r="V257">
        <v>8</v>
      </c>
      <c r="W257" t="s">
        <v>350</v>
      </c>
      <c r="X257" t="s">
        <v>349</v>
      </c>
      <c r="Y257" t="s">
        <v>710</v>
      </c>
      <c r="Z257">
        <v>2017</v>
      </c>
      <c r="AB257">
        <v>6</v>
      </c>
      <c r="AC257">
        <v>2.04</v>
      </c>
      <c r="AE257" t="s">
        <v>346</v>
      </c>
      <c r="AF257">
        <v>46.142674</v>
      </c>
      <c r="AG257">
        <v>-115.598088</v>
      </c>
      <c r="AH257">
        <v>14281560</v>
      </c>
    </row>
    <row r="258" spans="2:35">
      <c r="B258" t="s">
        <v>345</v>
      </c>
      <c r="C258" t="s">
        <v>712</v>
      </c>
      <c r="D258" s="3">
        <v>42887.332638888889</v>
      </c>
      <c r="F258">
        <v>2017</v>
      </c>
      <c r="G258" t="s">
        <v>482</v>
      </c>
      <c r="H258" t="s">
        <v>352</v>
      </c>
      <c r="J258">
        <v>0</v>
      </c>
      <c r="L258">
        <v>1</v>
      </c>
      <c r="M258">
        <v>32</v>
      </c>
      <c r="N258">
        <v>0</v>
      </c>
      <c r="O258" t="s">
        <v>353</v>
      </c>
      <c r="R258" t="s">
        <v>713</v>
      </c>
      <c r="U258">
        <v>9</v>
      </c>
      <c r="V258">
        <v>9</v>
      </c>
      <c r="W258" t="s">
        <v>350</v>
      </c>
      <c r="X258" t="s">
        <v>349</v>
      </c>
      <c r="Y258" t="s">
        <v>580</v>
      </c>
      <c r="Z258">
        <v>2017</v>
      </c>
      <c r="AB258">
        <v>3</v>
      </c>
      <c r="AC258">
        <v>9.6199999999999992</v>
      </c>
      <c r="AE258" t="s">
        <v>346</v>
      </c>
      <c r="AF258">
        <v>46.142674</v>
      </c>
      <c r="AG258">
        <v>-115.598088</v>
      </c>
      <c r="AH258">
        <v>14283211</v>
      </c>
    </row>
    <row r="259" spans="2:35">
      <c r="B259" t="s">
        <v>345</v>
      </c>
      <c r="C259" t="s">
        <v>714</v>
      </c>
      <c r="D259" s="3">
        <v>43037.432638888888</v>
      </c>
      <c r="F259">
        <v>2017</v>
      </c>
      <c r="G259" t="s">
        <v>574</v>
      </c>
      <c r="H259" t="s">
        <v>352</v>
      </c>
      <c r="J259">
        <v>0</v>
      </c>
      <c r="L259">
        <v>1</v>
      </c>
      <c r="M259">
        <v>64</v>
      </c>
      <c r="N259">
        <v>3</v>
      </c>
      <c r="O259" t="s">
        <v>575</v>
      </c>
      <c r="Q259" t="s">
        <v>715</v>
      </c>
      <c r="R259" t="s">
        <v>716</v>
      </c>
      <c r="U259">
        <v>6</v>
      </c>
      <c r="V259">
        <v>6</v>
      </c>
      <c r="W259" t="s">
        <v>350</v>
      </c>
      <c r="X259" t="s">
        <v>349</v>
      </c>
      <c r="Y259" t="s">
        <v>642</v>
      </c>
      <c r="Z259">
        <v>2017</v>
      </c>
      <c r="AB259">
        <v>5</v>
      </c>
      <c r="AC259">
        <v>2.31</v>
      </c>
      <c r="AE259" t="s">
        <v>346</v>
      </c>
      <c r="AF259">
        <v>46.142674</v>
      </c>
      <c r="AG259">
        <v>-115.598088</v>
      </c>
      <c r="AH259">
        <v>14283333</v>
      </c>
    </row>
    <row r="260" spans="2:35">
      <c r="B260" t="s">
        <v>345</v>
      </c>
      <c r="C260" t="s">
        <v>717</v>
      </c>
      <c r="D260" s="3">
        <v>43029.470138888886</v>
      </c>
      <c r="F260">
        <v>2017</v>
      </c>
      <c r="G260" t="s">
        <v>574</v>
      </c>
      <c r="H260" t="s">
        <v>352</v>
      </c>
      <c r="J260">
        <v>0</v>
      </c>
      <c r="L260">
        <v>1</v>
      </c>
      <c r="M260">
        <v>84</v>
      </c>
      <c r="N260">
        <v>6</v>
      </c>
      <c r="O260" t="s">
        <v>575</v>
      </c>
      <c r="Q260" t="s">
        <v>576</v>
      </c>
      <c r="R260" t="s">
        <v>603</v>
      </c>
      <c r="U260">
        <v>7</v>
      </c>
      <c r="V260">
        <v>7</v>
      </c>
      <c r="W260" t="s">
        <v>350</v>
      </c>
      <c r="X260" t="s">
        <v>349</v>
      </c>
      <c r="Y260" t="s">
        <v>348</v>
      </c>
      <c r="Z260">
        <v>2017</v>
      </c>
      <c r="AB260">
        <v>6</v>
      </c>
      <c r="AC260">
        <v>2.2200000000000002</v>
      </c>
      <c r="AE260" t="s">
        <v>346</v>
      </c>
      <c r="AF260">
        <v>46.142674</v>
      </c>
      <c r="AG260">
        <v>-115.598088</v>
      </c>
      <c r="AH260">
        <v>14362813</v>
      </c>
    </row>
    <row r="261" spans="2:35">
      <c r="B261" t="s">
        <v>345</v>
      </c>
      <c r="C261" t="s">
        <v>717</v>
      </c>
      <c r="D261" s="3">
        <v>43029.470138888886</v>
      </c>
      <c r="F261">
        <v>2017</v>
      </c>
      <c r="G261" t="s">
        <v>602</v>
      </c>
      <c r="H261" t="s">
        <v>352</v>
      </c>
      <c r="J261">
        <v>0</v>
      </c>
      <c r="L261">
        <v>1</v>
      </c>
      <c r="M261">
        <v>215</v>
      </c>
      <c r="N261">
        <v>129</v>
      </c>
      <c r="O261" t="s">
        <v>353</v>
      </c>
      <c r="R261" t="s">
        <v>603</v>
      </c>
      <c r="U261">
        <v>7</v>
      </c>
      <c r="V261">
        <v>7</v>
      </c>
      <c r="W261" t="s">
        <v>350</v>
      </c>
      <c r="X261" t="s">
        <v>349</v>
      </c>
      <c r="Y261" t="s">
        <v>348</v>
      </c>
      <c r="Z261">
        <v>2017</v>
      </c>
      <c r="AB261">
        <v>6</v>
      </c>
      <c r="AC261">
        <v>2.2200000000000002</v>
      </c>
      <c r="AE261" t="s">
        <v>346</v>
      </c>
      <c r="AF261">
        <v>46.142674</v>
      </c>
      <c r="AG261">
        <v>-115.598088</v>
      </c>
      <c r="AH261">
        <v>14362814</v>
      </c>
    </row>
    <row r="262" spans="2:35">
      <c r="B262" t="s">
        <v>345</v>
      </c>
      <c r="C262" t="s">
        <v>717</v>
      </c>
      <c r="D262" s="3">
        <v>43029.470138888886</v>
      </c>
      <c r="F262">
        <v>2017</v>
      </c>
      <c r="G262" t="s">
        <v>578</v>
      </c>
      <c r="H262" t="s">
        <v>352</v>
      </c>
      <c r="J262">
        <v>0</v>
      </c>
      <c r="L262">
        <v>1</v>
      </c>
      <c r="M262">
        <v>103</v>
      </c>
      <c r="N262">
        <v>11</v>
      </c>
      <c r="O262" t="s">
        <v>575</v>
      </c>
      <c r="Q262" t="s">
        <v>718</v>
      </c>
      <c r="R262" t="s">
        <v>603</v>
      </c>
      <c r="U262">
        <v>7</v>
      </c>
      <c r="V262">
        <v>7</v>
      </c>
      <c r="W262" t="s">
        <v>350</v>
      </c>
      <c r="X262" t="s">
        <v>349</v>
      </c>
      <c r="Y262" t="s">
        <v>348</v>
      </c>
      <c r="Z262">
        <v>2017</v>
      </c>
      <c r="AB262">
        <v>6</v>
      </c>
      <c r="AC262">
        <v>2.2200000000000002</v>
      </c>
      <c r="AE262" t="s">
        <v>346</v>
      </c>
      <c r="AF262">
        <v>46.142674</v>
      </c>
      <c r="AG262">
        <v>-115.598088</v>
      </c>
      <c r="AH262">
        <v>14362815</v>
      </c>
      <c r="AI262" t="b">
        <f>17=76581</f>
        <v>0</v>
      </c>
    </row>
    <row r="263" spans="2:35">
      <c r="B263" t="s">
        <v>345</v>
      </c>
      <c r="C263" t="s">
        <v>668</v>
      </c>
      <c r="D263" s="3">
        <v>42860.332638888889</v>
      </c>
      <c r="F263">
        <v>2017</v>
      </c>
      <c r="G263" t="s">
        <v>578</v>
      </c>
      <c r="H263" t="s">
        <v>352</v>
      </c>
      <c r="J263">
        <v>0</v>
      </c>
      <c r="L263">
        <v>1</v>
      </c>
      <c r="M263">
        <v>207</v>
      </c>
      <c r="N263">
        <v>74</v>
      </c>
      <c r="O263" t="s">
        <v>575</v>
      </c>
      <c r="Q263" t="s">
        <v>576</v>
      </c>
      <c r="R263" t="s">
        <v>670</v>
      </c>
      <c r="U263">
        <v>8</v>
      </c>
      <c r="V263">
        <v>8</v>
      </c>
      <c r="W263" t="s">
        <v>350</v>
      </c>
      <c r="X263" t="s">
        <v>349</v>
      </c>
      <c r="Y263" t="s">
        <v>580</v>
      </c>
      <c r="Z263">
        <v>2017</v>
      </c>
      <c r="AB263">
        <v>13</v>
      </c>
      <c r="AC263">
        <v>7.04</v>
      </c>
      <c r="AE263" t="s">
        <v>346</v>
      </c>
      <c r="AF263">
        <v>46.142674</v>
      </c>
      <c r="AG263">
        <v>-115.598088</v>
      </c>
      <c r="AH263">
        <v>14312420</v>
      </c>
    </row>
    <row r="264" spans="2:35">
      <c r="B264" t="s">
        <v>345</v>
      </c>
      <c r="C264" t="s">
        <v>668</v>
      </c>
      <c r="D264" s="3">
        <v>42860.332638888889</v>
      </c>
      <c r="F264">
        <v>2017</v>
      </c>
      <c r="G264" t="s">
        <v>578</v>
      </c>
      <c r="H264" t="s">
        <v>352</v>
      </c>
      <c r="J264">
        <v>0</v>
      </c>
      <c r="L264">
        <v>1</v>
      </c>
      <c r="M264">
        <v>156</v>
      </c>
      <c r="N264">
        <v>35</v>
      </c>
      <c r="O264" t="s">
        <v>634</v>
      </c>
      <c r="P264" t="s">
        <v>635</v>
      </c>
      <c r="Q264" t="s">
        <v>635</v>
      </c>
      <c r="R264" t="s">
        <v>670</v>
      </c>
      <c r="U264">
        <v>8</v>
      </c>
      <c r="V264">
        <v>8</v>
      </c>
      <c r="W264" t="s">
        <v>350</v>
      </c>
      <c r="X264" t="s">
        <v>349</v>
      </c>
      <c r="Y264" t="s">
        <v>580</v>
      </c>
      <c r="Z264">
        <v>2017</v>
      </c>
      <c r="AB264">
        <v>13</v>
      </c>
      <c r="AC264">
        <v>7.04</v>
      </c>
      <c r="AE264" t="s">
        <v>346</v>
      </c>
      <c r="AF264">
        <v>46.142674</v>
      </c>
      <c r="AG264">
        <v>-115.598088</v>
      </c>
      <c r="AH264">
        <v>14312421</v>
      </c>
    </row>
    <row r="265" spans="2:35">
      <c r="B265" t="s">
        <v>345</v>
      </c>
      <c r="C265" t="s">
        <v>668</v>
      </c>
      <c r="D265" s="3">
        <v>42860.332638888889</v>
      </c>
      <c r="F265">
        <v>2017</v>
      </c>
      <c r="G265" t="s">
        <v>578</v>
      </c>
      <c r="H265" t="s">
        <v>352</v>
      </c>
      <c r="J265">
        <v>0</v>
      </c>
      <c r="L265">
        <v>1</v>
      </c>
      <c r="M265">
        <v>201</v>
      </c>
      <c r="N265">
        <v>88</v>
      </c>
      <c r="O265" t="s">
        <v>575</v>
      </c>
      <c r="Q265" t="s">
        <v>576</v>
      </c>
      <c r="R265" t="s">
        <v>670</v>
      </c>
      <c r="U265">
        <v>8</v>
      </c>
      <c r="V265">
        <v>8</v>
      </c>
      <c r="W265" t="s">
        <v>350</v>
      </c>
      <c r="X265" t="s">
        <v>349</v>
      </c>
      <c r="Y265" t="s">
        <v>580</v>
      </c>
      <c r="Z265">
        <v>2017</v>
      </c>
      <c r="AB265">
        <v>13</v>
      </c>
      <c r="AC265">
        <v>7.04</v>
      </c>
      <c r="AE265" t="s">
        <v>346</v>
      </c>
      <c r="AF265">
        <v>46.142674</v>
      </c>
      <c r="AG265">
        <v>-115.598088</v>
      </c>
      <c r="AH265">
        <v>14312422</v>
      </c>
    </row>
    <row r="266" spans="2:35">
      <c r="B266" t="s">
        <v>345</v>
      </c>
      <c r="C266" t="s">
        <v>668</v>
      </c>
      <c r="D266" s="3">
        <v>42860.332638888889</v>
      </c>
      <c r="F266">
        <v>2017</v>
      </c>
      <c r="G266" t="s">
        <v>578</v>
      </c>
      <c r="H266" t="s">
        <v>352</v>
      </c>
      <c r="J266">
        <v>0</v>
      </c>
      <c r="L266">
        <v>1</v>
      </c>
      <c r="M266">
        <v>167</v>
      </c>
      <c r="N266">
        <v>45</v>
      </c>
      <c r="O266" t="s">
        <v>575</v>
      </c>
      <c r="Q266" t="s">
        <v>576</v>
      </c>
      <c r="R266" t="s">
        <v>670</v>
      </c>
      <c r="U266">
        <v>8</v>
      </c>
      <c r="V266">
        <v>8</v>
      </c>
      <c r="W266" t="s">
        <v>350</v>
      </c>
      <c r="X266" t="s">
        <v>349</v>
      </c>
      <c r="Y266" t="s">
        <v>580</v>
      </c>
      <c r="Z266">
        <v>2017</v>
      </c>
      <c r="AB266">
        <v>13</v>
      </c>
      <c r="AC266">
        <v>7.04</v>
      </c>
      <c r="AE266" t="s">
        <v>346</v>
      </c>
      <c r="AF266">
        <v>46.142674</v>
      </c>
      <c r="AG266">
        <v>-115.598088</v>
      </c>
      <c r="AH266">
        <v>14312423</v>
      </c>
    </row>
    <row r="267" spans="2:35">
      <c r="B267" t="s">
        <v>345</v>
      </c>
      <c r="C267" t="s">
        <v>668</v>
      </c>
      <c r="D267" s="3">
        <v>42860.332638888889</v>
      </c>
      <c r="F267">
        <v>2017</v>
      </c>
      <c r="G267" t="s">
        <v>578</v>
      </c>
      <c r="H267" t="s">
        <v>352</v>
      </c>
      <c r="J267">
        <v>0</v>
      </c>
      <c r="L267">
        <v>1</v>
      </c>
      <c r="M267">
        <v>185</v>
      </c>
      <c r="N267">
        <v>62</v>
      </c>
      <c r="O267" t="s">
        <v>575</v>
      </c>
      <c r="Q267" t="s">
        <v>576</v>
      </c>
      <c r="R267" t="s">
        <v>670</v>
      </c>
      <c r="U267">
        <v>8</v>
      </c>
      <c r="V267">
        <v>8</v>
      </c>
      <c r="W267" t="s">
        <v>350</v>
      </c>
      <c r="X267" t="s">
        <v>349</v>
      </c>
      <c r="Y267" t="s">
        <v>580</v>
      </c>
      <c r="Z267">
        <v>2017</v>
      </c>
      <c r="AB267">
        <v>13</v>
      </c>
      <c r="AC267">
        <v>7.04</v>
      </c>
      <c r="AE267" t="s">
        <v>346</v>
      </c>
      <c r="AF267">
        <v>46.142674</v>
      </c>
      <c r="AG267">
        <v>-115.598088</v>
      </c>
      <c r="AH267">
        <v>14312424</v>
      </c>
    </row>
    <row r="268" spans="2:35">
      <c r="B268" t="s">
        <v>345</v>
      </c>
      <c r="C268" t="s">
        <v>668</v>
      </c>
      <c r="D268" s="3">
        <v>42860.332638888889</v>
      </c>
      <c r="F268">
        <v>2017</v>
      </c>
      <c r="G268" t="s">
        <v>578</v>
      </c>
      <c r="H268" t="s">
        <v>352</v>
      </c>
      <c r="J268">
        <v>0</v>
      </c>
      <c r="L268">
        <v>1</v>
      </c>
      <c r="M268">
        <v>174</v>
      </c>
      <c r="N268">
        <v>59</v>
      </c>
      <c r="O268" t="s">
        <v>575</v>
      </c>
      <c r="Q268" t="s">
        <v>576</v>
      </c>
      <c r="R268" t="s">
        <v>670</v>
      </c>
      <c r="U268">
        <v>8</v>
      </c>
      <c r="V268">
        <v>8</v>
      </c>
      <c r="W268" t="s">
        <v>350</v>
      </c>
      <c r="X268" t="s">
        <v>349</v>
      </c>
      <c r="Y268" t="s">
        <v>580</v>
      </c>
      <c r="Z268">
        <v>2017</v>
      </c>
      <c r="AB268">
        <v>13</v>
      </c>
      <c r="AC268">
        <v>7.04</v>
      </c>
      <c r="AE268" t="s">
        <v>346</v>
      </c>
      <c r="AF268">
        <v>46.142674</v>
      </c>
      <c r="AG268">
        <v>-115.598088</v>
      </c>
      <c r="AH268">
        <v>14312425</v>
      </c>
    </row>
    <row r="269" spans="2:35">
      <c r="B269" t="s">
        <v>345</v>
      </c>
      <c r="C269" t="s">
        <v>668</v>
      </c>
      <c r="D269" s="3">
        <v>42860.332638888889</v>
      </c>
      <c r="F269">
        <v>2017</v>
      </c>
      <c r="G269" t="s">
        <v>578</v>
      </c>
      <c r="H269" t="s">
        <v>352</v>
      </c>
      <c r="J269">
        <v>0</v>
      </c>
      <c r="L269">
        <v>1</v>
      </c>
      <c r="M269">
        <v>193</v>
      </c>
      <c r="N269">
        <v>69</v>
      </c>
      <c r="O269" t="s">
        <v>575</v>
      </c>
      <c r="Q269" t="s">
        <v>719</v>
      </c>
      <c r="R269" t="s">
        <v>670</v>
      </c>
      <c r="U269">
        <v>8</v>
      </c>
      <c r="V269">
        <v>8</v>
      </c>
      <c r="W269" t="s">
        <v>350</v>
      </c>
      <c r="X269" t="s">
        <v>349</v>
      </c>
      <c r="Y269" t="s">
        <v>580</v>
      </c>
      <c r="Z269">
        <v>2017</v>
      </c>
      <c r="AB269">
        <v>13</v>
      </c>
      <c r="AC269">
        <v>7.04</v>
      </c>
      <c r="AE269" t="s">
        <v>346</v>
      </c>
      <c r="AF269">
        <v>46.142674</v>
      </c>
      <c r="AG269">
        <v>-115.598088</v>
      </c>
      <c r="AH269">
        <v>14312426</v>
      </c>
    </row>
    <row r="270" spans="2:35">
      <c r="B270" t="s">
        <v>345</v>
      </c>
      <c r="C270" t="s">
        <v>668</v>
      </c>
      <c r="D270" s="3">
        <v>42860.332638888889</v>
      </c>
      <c r="F270">
        <v>2017</v>
      </c>
      <c r="G270" t="s">
        <v>578</v>
      </c>
      <c r="H270" t="s">
        <v>352</v>
      </c>
      <c r="J270">
        <v>0</v>
      </c>
      <c r="L270">
        <v>1</v>
      </c>
      <c r="M270">
        <v>165</v>
      </c>
      <c r="N270">
        <v>46</v>
      </c>
      <c r="O270" t="s">
        <v>575</v>
      </c>
      <c r="Q270" t="s">
        <v>576</v>
      </c>
      <c r="R270" t="s">
        <v>670</v>
      </c>
      <c r="U270">
        <v>8</v>
      </c>
      <c r="V270">
        <v>8</v>
      </c>
      <c r="W270" t="s">
        <v>350</v>
      </c>
      <c r="X270" t="s">
        <v>349</v>
      </c>
      <c r="Y270" t="s">
        <v>580</v>
      </c>
      <c r="Z270">
        <v>2017</v>
      </c>
      <c r="AB270">
        <v>13</v>
      </c>
      <c r="AC270">
        <v>7.04</v>
      </c>
      <c r="AE270" t="s">
        <v>346</v>
      </c>
      <c r="AF270">
        <v>46.142674</v>
      </c>
      <c r="AG270">
        <v>-115.598088</v>
      </c>
      <c r="AH270">
        <v>14312427</v>
      </c>
    </row>
    <row r="271" spans="2:35">
      <c r="B271" t="s">
        <v>345</v>
      </c>
      <c r="C271" t="s">
        <v>668</v>
      </c>
      <c r="D271" s="3">
        <v>42860.332638888889</v>
      </c>
      <c r="F271">
        <v>2017</v>
      </c>
      <c r="G271" t="s">
        <v>578</v>
      </c>
      <c r="H271" t="s">
        <v>352</v>
      </c>
      <c r="J271">
        <v>0</v>
      </c>
      <c r="L271">
        <v>1</v>
      </c>
      <c r="M271">
        <v>169</v>
      </c>
      <c r="N271">
        <v>45</v>
      </c>
      <c r="O271" t="s">
        <v>575</v>
      </c>
      <c r="Q271" t="s">
        <v>576</v>
      </c>
      <c r="R271" t="s">
        <v>670</v>
      </c>
      <c r="U271">
        <v>8</v>
      </c>
      <c r="V271">
        <v>8</v>
      </c>
      <c r="W271" t="s">
        <v>350</v>
      </c>
      <c r="X271" t="s">
        <v>349</v>
      </c>
      <c r="Y271" t="s">
        <v>580</v>
      </c>
      <c r="Z271">
        <v>2017</v>
      </c>
      <c r="AB271">
        <v>13</v>
      </c>
      <c r="AC271">
        <v>7.04</v>
      </c>
      <c r="AE271" t="s">
        <v>346</v>
      </c>
      <c r="AF271">
        <v>46.142674</v>
      </c>
      <c r="AG271">
        <v>-115.598088</v>
      </c>
      <c r="AH271">
        <v>14312428</v>
      </c>
    </row>
    <row r="272" spans="2:35">
      <c r="B272" t="s">
        <v>345</v>
      </c>
      <c r="C272" t="s">
        <v>668</v>
      </c>
      <c r="D272" s="3">
        <v>42860.332638888889</v>
      </c>
      <c r="F272">
        <v>2017</v>
      </c>
      <c r="G272" t="s">
        <v>578</v>
      </c>
      <c r="H272" t="s">
        <v>352</v>
      </c>
      <c r="J272">
        <v>0</v>
      </c>
      <c r="L272">
        <v>1</v>
      </c>
      <c r="M272">
        <v>168</v>
      </c>
      <c r="N272">
        <v>42</v>
      </c>
      <c r="O272" t="s">
        <v>575</v>
      </c>
      <c r="Q272" t="s">
        <v>576</v>
      </c>
      <c r="R272" t="s">
        <v>670</v>
      </c>
      <c r="U272">
        <v>8</v>
      </c>
      <c r="V272">
        <v>8</v>
      </c>
      <c r="W272" t="s">
        <v>350</v>
      </c>
      <c r="X272" t="s">
        <v>349</v>
      </c>
      <c r="Y272" t="s">
        <v>580</v>
      </c>
      <c r="Z272">
        <v>2017</v>
      </c>
      <c r="AB272">
        <v>13</v>
      </c>
      <c r="AC272">
        <v>7.04</v>
      </c>
      <c r="AE272" t="s">
        <v>346</v>
      </c>
      <c r="AF272">
        <v>46.142674</v>
      </c>
      <c r="AG272">
        <v>-115.598088</v>
      </c>
      <c r="AH272">
        <v>14312429</v>
      </c>
    </row>
    <row r="273" spans="2:34">
      <c r="B273" t="s">
        <v>345</v>
      </c>
      <c r="C273" t="s">
        <v>668</v>
      </c>
      <c r="D273" s="3">
        <v>42860.332638888889</v>
      </c>
      <c r="F273">
        <v>2017</v>
      </c>
      <c r="G273" t="s">
        <v>578</v>
      </c>
      <c r="H273" t="s">
        <v>352</v>
      </c>
      <c r="J273">
        <v>0</v>
      </c>
      <c r="L273">
        <v>1</v>
      </c>
      <c r="M273">
        <v>159</v>
      </c>
      <c r="N273">
        <v>39</v>
      </c>
      <c r="O273" t="s">
        <v>575</v>
      </c>
      <c r="Q273" t="s">
        <v>576</v>
      </c>
      <c r="R273" t="s">
        <v>670</v>
      </c>
      <c r="U273">
        <v>8</v>
      </c>
      <c r="V273">
        <v>8</v>
      </c>
      <c r="W273" t="s">
        <v>350</v>
      </c>
      <c r="X273" t="s">
        <v>349</v>
      </c>
      <c r="Y273" t="s">
        <v>580</v>
      </c>
      <c r="Z273">
        <v>2017</v>
      </c>
      <c r="AB273">
        <v>13</v>
      </c>
      <c r="AC273">
        <v>7.04</v>
      </c>
      <c r="AE273" t="s">
        <v>346</v>
      </c>
      <c r="AF273">
        <v>46.142674</v>
      </c>
      <c r="AG273">
        <v>-115.598088</v>
      </c>
      <c r="AH273">
        <v>14312430</v>
      </c>
    </row>
    <row r="274" spans="2:34">
      <c r="B274" t="s">
        <v>345</v>
      </c>
      <c r="C274" t="s">
        <v>668</v>
      </c>
      <c r="D274" s="3">
        <v>42860.332638888889</v>
      </c>
      <c r="F274">
        <v>2017</v>
      </c>
      <c r="G274" t="s">
        <v>578</v>
      </c>
      <c r="H274" t="s">
        <v>352</v>
      </c>
      <c r="J274">
        <v>0</v>
      </c>
      <c r="L274">
        <v>1</v>
      </c>
      <c r="M274">
        <v>181</v>
      </c>
      <c r="N274">
        <v>49</v>
      </c>
      <c r="O274" t="s">
        <v>575</v>
      </c>
      <c r="Q274" t="s">
        <v>576</v>
      </c>
      <c r="R274" t="s">
        <v>670</v>
      </c>
      <c r="U274">
        <v>8</v>
      </c>
      <c r="V274">
        <v>8</v>
      </c>
      <c r="W274" t="s">
        <v>350</v>
      </c>
      <c r="X274" t="s">
        <v>349</v>
      </c>
      <c r="Y274" t="s">
        <v>580</v>
      </c>
      <c r="Z274">
        <v>2017</v>
      </c>
      <c r="AB274">
        <v>13</v>
      </c>
      <c r="AC274">
        <v>7.04</v>
      </c>
      <c r="AE274" t="s">
        <v>346</v>
      </c>
      <c r="AF274">
        <v>46.142674</v>
      </c>
      <c r="AG274">
        <v>-115.598088</v>
      </c>
      <c r="AH274">
        <v>14312431</v>
      </c>
    </row>
    <row r="275" spans="2:34">
      <c r="B275" t="s">
        <v>345</v>
      </c>
      <c r="C275" t="s">
        <v>668</v>
      </c>
      <c r="D275" s="3">
        <v>42860.332638888889</v>
      </c>
      <c r="F275">
        <v>2017</v>
      </c>
      <c r="G275" t="s">
        <v>578</v>
      </c>
      <c r="H275" t="s">
        <v>352</v>
      </c>
      <c r="J275">
        <v>0</v>
      </c>
      <c r="L275">
        <v>1</v>
      </c>
      <c r="M275">
        <v>162</v>
      </c>
      <c r="O275" t="s">
        <v>575</v>
      </c>
      <c r="Q275" t="s">
        <v>576</v>
      </c>
      <c r="R275" t="s">
        <v>670</v>
      </c>
      <c r="U275">
        <v>8</v>
      </c>
      <c r="V275">
        <v>8</v>
      </c>
      <c r="W275" t="s">
        <v>350</v>
      </c>
      <c r="X275" t="s">
        <v>349</v>
      </c>
      <c r="Y275" t="s">
        <v>580</v>
      </c>
      <c r="Z275">
        <v>2017</v>
      </c>
      <c r="AB275">
        <v>13</v>
      </c>
      <c r="AC275">
        <v>7.04</v>
      </c>
      <c r="AE275" t="s">
        <v>346</v>
      </c>
      <c r="AF275">
        <v>46.142674</v>
      </c>
      <c r="AG275">
        <v>-115.598088</v>
      </c>
      <c r="AH275">
        <v>14312432</v>
      </c>
    </row>
    <row r="276" spans="2:34">
      <c r="B276" t="s">
        <v>345</v>
      </c>
      <c r="C276" t="s">
        <v>668</v>
      </c>
      <c r="D276" s="3">
        <v>42860.332638888889</v>
      </c>
      <c r="F276">
        <v>2017</v>
      </c>
      <c r="G276" t="s">
        <v>578</v>
      </c>
      <c r="H276" t="s">
        <v>352</v>
      </c>
      <c r="J276">
        <v>0</v>
      </c>
      <c r="L276">
        <v>1</v>
      </c>
      <c r="M276">
        <v>200</v>
      </c>
      <c r="N276">
        <v>68</v>
      </c>
      <c r="O276" t="s">
        <v>634</v>
      </c>
      <c r="P276" t="s">
        <v>635</v>
      </c>
      <c r="Q276" t="s">
        <v>635</v>
      </c>
      <c r="R276" t="s">
        <v>670</v>
      </c>
      <c r="U276">
        <v>8</v>
      </c>
      <c r="V276">
        <v>8</v>
      </c>
      <c r="W276" t="s">
        <v>350</v>
      </c>
      <c r="X276" t="s">
        <v>349</v>
      </c>
      <c r="Y276" t="s">
        <v>580</v>
      </c>
      <c r="Z276">
        <v>2017</v>
      </c>
      <c r="AB276">
        <v>13</v>
      </c>
      <c r="AC276">
        <v>7.04</v>
      </c>
      <c r="AE276" t="s">
        <v>346</v>
      </c>
      <c r="AF276">
        <v>46.142674</v>
      </c>
      <c r="AG276">
        <v>-115.598088</v>
      </c>
      <c r="AH276">
        <v>14312433</v>
      </c>
    </row>
    <row r="277" spans="2:34">
      <c r="B277" t="s">
        <v>345</v>
      </c>
      <c r="C277" t="s">
        <v>668</v>
      </c>
      <c r="D277" s="3">
        <v>42860.332638888889</v>
      </c>
      <c r="F277">
        <v>2017</v>
      </c>
      <c r="G277" t="s">
        <v>578</v>
      </c>
      <c r="H277" t="s">
        <v>352</v>
      </c>
      <c r="J277">
        <v>0</v>
      </c>
      <c r="L277">
        <v>1</v>
      </c>
      <c r="M277">
        <v>188</v>
      </c>
      <c r="N277">
        <v>55</v>
      </c>
      <c r="O277" t="s">
        <v>575</v>
      </c>
      <c r="Q277" t="s">
        <v>576</v>
      </c>
      <c r="R277" t="s">
        <v>670</v>
      </c>
      <c r="U277">
        <v>8</v>
      </c>
      <c r="V277">
        <v>8</v>
      </c>
      <c r="W277" t="s">
        <v>350</v>
      </c>
      <c r="X277" t="s">
        <v>349</v>
      </c>
      <c r="Y277" t="s">
        <v>580</v>
      </c>
      <c r="Z277">
        <v>2017</v>
      </c>
      <c r="AB277">
        <v>13</v>
      </c>
      <c r="AC277">
        <v>7.04</v>
      </c>
      <c r="AE277" t="s">
        <v>346</v>
      </c>
      <c r="AF277">
        <v>46.142674</v>
      </c>
      <c r="AG277">
        <v>-115.598088</v>
      </c>
      <c r="AH277">
        <v>14312434</v>
      </c>
    </row>
    <row r="278" spans="2:34">
      <c r="B278" t="s">
        <v>345</v>
      </c>
      <c r="C278" t="s">
        <v>668</v>
      </c>
      <c r="D278" s="3">
        <v>42860.332638888889</v>
      </c>
      <c r="F278">
        <v>2017</v>
      </c>
      <c r="G278" t="s">
        <v>578</v>
      </c>
      <c r="H278" t="s">
        <v>352</v>
      </c>
      <c r="J278">
        <v>0</v>
      </c>
      <c r="L278">
        <v>1</v>
      </c>
      <c r="M278">
        <v>190</v>
      </c>
      <c r="N278">
        <v>69</v>
      </c>
      <c r="O278" t="s">
        <v>575</v>
      </c>
      <c r="Q278" t="s">
        <v>576</v>
      </c>
      <c r="R278" t="s">
        <v>670</v>
      </c>
      <c r="U278">
        <v>8</v>
      </c>
      <c r="V278">
        <v>8</v>
      </c>
      <c r="W278" t="s">
        <v>350</v>
      </c>
      <c r="X278" t="s">
        <v>349</v>
      </c>
      <c r="Y278" t="s">
        <v>580</v>
      </c>
      <c r="Z278">
        <v>2017</v>
      </c>
      <c r="AB278">
        <v>13</v>
      </c>
      <c r="AC278">
        <v>7.04</v>
      </c>
      <c r="AE278" t="s">
        <v>346</v>
      </c>
      <c r="AF278">
        <v>46.142674</v>
      </c>
      <c r="AG278">
        <v>-115.598088</v>
      </c>
      <c r="AH278">
        <v>14312435</v>
      </c>
    </row>
    <row r="279" spans="2:34">
      <c r="B279" t="s">
        <v>345</v>
      </c>
      <c r="C279" t="s">
        <v>668</v>
      </c>
      <c r="D279" s="3">
        <v>42860.332638888889</v>
      </c>
      <c r="F279">
        <v>2017</v>
      </c>
      <c r="G279" t="s">
        <v>578</v>
      </c>
      <c r="H279" t="s">
        <v>352</v>
      </c>
      <c r="J279">
        <v>0</v>
      </c>
      <c r="L279">
        <v>1</v>
      </c>
      <c r="M279">
        <v>194</v>
      </c>
      <c r="N279">
        <v>69</v>
      </c>
      <c r="O279" t="s">
        <v>575</v>
      </c>
      <c r="Q279" t="s">
        <v>576</v>
      </c>
      <c r="R279" t="s">
        <v>670</v>
      </c>
      <c r="U279">
        <v>8</v>
      </c>
      <c r="V279">
        <v>8</v>
      </c>
      <c r="W279" t="s">
        <v>350</v>
      </c>
      <c r="X279" t="s">
        <v>349</v>
      </c>
      <c r="Y279" t="s">
        <v>580</v>
      </c>
      <c r="Z279">
        <v>2017</v>
      </c>
      <c r="AB279">
        <v>13</v>
      </c>
      <c r="AC279">
        <v>7.04</v>
      </c>
      <c r="AE279" t="s">
        <v>346</v>
      </c>
      <c r="AF279">
        <v>46.142674</v>
      </c>
      <c r="AG279">
        <v>-115.598088</v>
      </c>
      <c r="AH279">
        <v>14312436</v>
      </c>
    </row>
    <row r="280" spans="2:34">
      <c r="B280" t="s">
        <v>345</v>
      </c>
      <c r="C280" t="s">
        <v>668</v>
      </c>
      <c r="D280" s="3">
        <v>42860.332638888889</v>
      </c>
      <c r="F280">
        <v>2017</v>
      </c>
      <c r="G280" t="s">
        <v>578</v>
      </c>
      <c r="H280" t="s">
        <v>352</v>
      </c>
      <c r="J280">
        <v>0</v>
      </c>
      <c r="L280">
        <v>1</v>
      </c>
      <c r="M280">
        <v>166</v>
      </c>
      <c r="N280">
        <v>44</v>
      </c>
      <c r="O280" t="s">
        <v>575</v>
      </c>
      <c r="Q280" t="s">
        <v>720</v>
      </c>
      <c r="R280" t="s">
        <v>670</v>
      </c>
      <c r="U280">
        <v>8</v>
      </c>
      <c r="V280">
        <v>8</v>
      </c>
      <c r="W280" t="s">
        <v>350</v>
      </c>
      <c r="X280" t="s">
        <v>349</v>
      </c>
      <c r="Y280" t="s">
        <v>580</v>
      </c>
      <c r="Z280">
        <v>2017</v>
      </c>
      <c r="AB280">
        <v>13</v>
      </c>
      <c r="AC280">
        <v>7.04</v>
      </c>
      <c r="AE280" t="s">
        <v>346</v>
      </c>
      <c r="AF280">
        <v>46.142674</v>
      </c>
      <c r="AG280">
        <v>-115.598088</v>
      </c>
      <c r="AH280">
        <v>14312437</v>
      </c>
    </row>
    <row r="281" spans="2:34">
      <c r="B281" t="s">
        <v>345</v>
      </c>
      <c r="C281" t="s">
        <v>668</v>
      </c>
      <c r="D281" s="3">
        <v>42860.332638888889</v>
      </c>
      <c r="F281">
        <v>2017</v>
      </c>
      <c r="G281" t="s">
        <v>578</v>
      </c>
      <c r="H281" t="s">
        <v>352</v>
      </c>
      <c r="J281">
        <v>0</v>
      </c>
      <c r="L281">
        <v>1</v>
      </c>
      <c r="M281">
        <v>152</v>
      </c>
      <c r="N281">
        <v>34</v>
      </c>
      <c r="O281" t="s">
        <v>634</v>
      </c>
      <c r="P281" t="s">
        <v>635</v>
      </c>
      <c r="Q281" t="s">
        <v>635</v>
      </c>
      <c r="R281" t="s">
        <v>670</v>
      </c>
      <c r="U281">
        <v>8</v>
      </c>
      <c r="V281">
        <v>8</v>
      </c>
      <c r="W281" t="s">
        <v>350</v>
      </c>
      <c r="X281" t="s">
        <v>349</v>
      </c>
      <c r="Y281" t="s">
        <v>580</v>
      </c>
      <c r="Z281">
        <v>2017</v>
      </c>
      <c r="AB281">
        <v>13</v>
      </c>
      <c r="AC281">
        <v>7.04</v>
      </c>
      <c r="AE281" t="s">
        <v>346</v>
      </c>
      <c r="AF281">
        <v>46.142674</v>
      </c>
      <c r="AG281">
        <v>-115.598088</v>
      </c>
      <c r="AH281">
        <v>14312438</v>
      </c>
    </row>
    <row r="282" spans="2:34">
      <c r="B282" t="s">
        <v>345</v>
      </c>
      <c r="C282" t="s">
        <v>668</v>
      </c>
      <c r="D282" s="3">
        <v>42860.332638888889</v>
      </c>
      <c r="F282">
        <v>2017</v>
      </c>
      <c r="G282" t="s">
        <v>578</v>
      </c>
      <c r="H282" t="s">
        <v>352</v>
      </c>
      <c r="J282">
        <v>0</v>
      </c>
      <c r="L282">
        <v>1</v>
      </c>
      <c r="M282">
        <v>147</v>
      </c>
      <c r="N282">
        <v>47</v>
      </c>
      <c r="O282" t="s">
        <v>575</v>
      </c>
      <c r="Q282" t="s">
        <v>576</v>
      </c>
      <c r="R282" t="s">
        <v>670</v>
      </c>
      <c r="U282">
        <v>8</v>
      </c>
      <c r="V282">
        <v>8</v>
      </c>
      <c r="W282" t="s">
        <v>350</v>
      </c>
      <c r="X282" t="s">
        <v>349</v>
      </c>
      <c r="Y282" t="s">
        <v>580</v>
      </c>
      <c r="Z282">
        <v>2017</v>
      </c>
      <c r="AB282">
        <v>13</v>
      </c>
      <c r="AC282">
        <v>7.04</v>
      </c>
      <c r="AE282" t="s">
        <v>346</v>
      </c>
      <c r="AF282">
        <v>46.142674</v>
      </c>
      <c r="AG282">
        <v>-115.598088</v>
      </c>
      <c r="AH282">
        <v>14312439</v>
      </c>
    </row>
    <row r="283" spans="2:34">
      <c r="B283" t="s">
        <v>345</v>
      </c>
      <c r="C283" t="s">
        <v>668</v>
      </c>
      <c r="D283" s="3">
        <v>42860.332638888889</v>
      </c>
      <c r="F283">
        <v>2017</v>
      </c>
      <c r="G283" t="s">
        <v>578</v>
      </c>
      <c r="H283" t="s">
        <v>352</v>
      </c>
      <c r="J283">
        <v>0</v>
      </c>
      <c r="L283">
        <v>1</v>
      </c>
      <c r="M283">
        <v>207</v>
      </c>
      <c r="N283">
        <v>76</v>
      </c>
      <c r="O283" t="s">
        <v>575</v>
      </c>
      <c r="Q283" t="s">
        <v>576</v>
      </c>
      <c r="R283" t="s">
        <v>670</v>
      </c>
      <c r="U283">
        <v>8</v>
      </c>
      <c r="V283">
        <v>8</v>
      </c>
      <c r="W283" t="s">
        <v>350</v>
      </c>
      <c r="X283" t="s">
        <v>349</v>
      </c>
      <c r="Y283" t="s">
        <v>580</v>
      </c>
      <c r="Z283">
        <v>2017</v>
      </c>
      <c r="AB283">
        <v>13</v>
      </c>
      <c r="AC283">
        <v>7.04</v>
      </c>
      <c r="AE283" t="s">
        <v>346</v>
      </c>
      <c r="AF283">
        <v>46.142674</v>
      </c>
      <c r="AG283">
        <v>-115.598088</v>
      </c>
      <c r="AH283">
        <v>14312440</v>
      </c>
    </row>
    <row r="284" spans="2:34">
      <c r="B284" t="s">
        <v>345</v>
      </c>
      <c r="C284" t="s">
        <v>668</v>
      </c>
      <c r="D284" s="3">
        <v>42860.332638888889</v>
      </c>
      <c r="F284">
        <v>2017</v>
      </c>
      <c r="G284" t="s">
        <v>578</v>
      </c>
      <c r="H284" t="s">
        <v>352</v>
      </c>
      <c r="J284">
        <v>0</v>
      </c>
      <c r="L284">
        <v>1</v>
      </c>
      <c r="M284">
        <v>176</v>
      </c>
      <c r="N284">
        <v>56</v>
      </c>
      <c r="O284" t="s">
        <v>575</v>
      </c>
      <c r="Q284" t="s">
        <v>576</v>
      </c>
      <c r="R284" t="s">
        <v>670</v>
      </c>
      <c r="U284">
        <v>8</v>
      </c>
      <c r="V284">
        <v>8</v>
      </c>
      <c r="W284" t="s">
        <v>350</v>
      </c>
      <c r="X284" t="s">
        <v>349</v>
      </c>
      <c r="Y284" t="s">
        <v>580</v>
      </c>
      <c r="Z284">
        <v>2017</v>
      </c>
      <c r="AB284">
        <v>13</v>
      </c>
      <c r="AC284">
        <v>7.04</v>
      </c>
      <c r="AE284" t="s">
        <v>346</v>
      </c>
      <c r="AF284">
        <v>46.142674</v>
      </c>
      <c r="AG284">
        <v>-115.598088</v>
      </c>
      <c r="AH284">
        <v>14312441</v>
      </c>
    </row>
    <row r="285" spans="2:34">
      <c r="B285" t="s">
        <v>345</v>
      </c>
      <c r="C285" t="s">
        <v>668</v>
      </c>
      <c r="D285" s="3">
        <v>42860.332638888889</v>
      </c>
      <c r="F285">
        <v>2017</v>
      </c>
      <c r="G285" t="s">
        <v>578</v>
      </c>
      <c r="H285" t="s">
        <v>352</v>
      </c>
      <c r="J285">
        <v>0</v>
      </c>
      <c r="L285">
        <v>1</v>
      </c>
      <c r="M285">
        <v>180</v>
      </c>
      <c r="N285">
        <v>55</v>
      </c>
      <c r="O285" t="s">
        <v>575</v>
      </c>
      <c r="Q285" t="s">
        <v>576</v>
      </c>
      <c r="R285" t="s">
        <v>670</v>
      </c>
      <c r="U285">
        <v>8</v>
      </c>
      <c r="V285">
        <v>8</v>
      </c>
      <c r="W285" t="s">
        <v>350</v>
      </c>
      <c r="X285" t="s">
        <v>349</v>
      </c>
      <c r="Y285" t="s">
        <v>580</v>
      </c>
      <c r="Z285">
        <v>2017</v>
      </c>
      <c r="AB285">
        <v>13</v>
      </c>
      <c r="AC285">
        <v>7.04</v>
      </c>
      <c r="AE285" t="s">
        <v>346</v>
      </c>
      <c r="AF285">
        <v>46.142674</v>
      </c>
      <c r="AG285">
        <v>-115.598088</v>
      </c>
      <c r="AH285">
        <v>14312442</v>
      </c>
    </row>
    <row r="286" spans="2:34">
      <c r="B286" t="s">
        <v>345</v>
      </c>
      <c r="C286" t="s">
        <v>668</v>
      </c>
      <c r="D286" s="3">
        <v>42860.332638888889</v>
      </c>
      <c r="F286">
        <v>2017</v>
      </c>
      <c r="G286" t="s">
        <v>578</v>
      </c>
      <c r="H286" t="s">
        <v>352</v>
      </c>
      <c r="J286">
        <v>0</v>
      </c>
      <c r="L286">
        <v>1</v>
      </c>
      <c r="M286">
        <v>155</v>
      </c>
      <c r="N286">
        <v>31</v>
      </c>
      <c r="O286" t="s">
        <v>575</v>
      </c>
      <c r="Q286" t="s">
        <v>576</v>
      </c>
      <c r="R286" t="s">
        <v>670</v>
      </c>
      <c r="U286">
        <v>8</v>
      </c>
      <c r="V286">
        <v>8</v>
      </c>
      <c r="W286" t="s">
        <v>350</v>
      </c>
      <c r="X286" t="s">
        <v>349</v>
      </c>
      <c r="Y286" t="s">
        <v>580</v>
      </c>
      <c r="Z286">
        <v>2017</v>
      </c>
      <c r="AB286">
        <v>13</v>
      </c>
      <c r="AC286">
        <v>7.04</v>
      </c>
      <c r="AE286" t="s">
        <v>346</v>
      </c>
      <c r="AF286">
        <v>46.142674</v>
      </c>
      <c r="AG286">
        <v>-115.598088</v>
      </c>
      <c r="AH286">
        <v>14312443</v>
      </c>
    </row>
    <row r="287" spans="2:34">
      <c r="B287" t="s">
        <v>345</v>
      </c>
      <c r="C287" t="s">
        <v>668</v>
      </c>
      <c r="D287" s="3">
        <v>42860.332638888889</v>
      </c>
      <c r="F287">
        <v>2017</v>
      </c>
      <c r="G287" t="s">
        <v>578</v>
      </c>
      <c r="H287" t="s">
        <v>352</v>
      </c>
      <c r="J287">
        <v>0</v>
      </c>
      <c r="L287">
        <v>1</v>
      </c>
      <c r="M287">
        <v>180</v>
      </c>
      <c r="N287">
        <v>52</v>
      </c>
      <c r="O287" t="s">
        <v>575</v>
      </c>
      <c r="Q287" t="s">
        <v>576</v>
      </c>
      <c r="R287" t="s">
        <v>670</v>
      </c>
      <c r="U287">
        <v>8</v>
      </c>
      <c r="V287">
        <v>8</v>
      </c>
      <c r="W287" t="s">
        <v>350</v>
      </c>
      <c r="X287" t="s">
        <v>349</v>
      </c>
      <c r="Y287" t="s">
        <v>580</v>
      </c>
      <c r="Z287">
        <v>2017</v>
      </c>
      <c r="AB287">
        <v>13</v>
      </c>
      <c r="AC287">
        <v>7.04</v>
      </c>
      <c r="AE287" t="s">
        <v>346</v>
      </c>
      <c r="AF287">
        <v>46.142674</v>
      </c>
      <c r="AG287">
        <v>-115.598088</v>
      </c>
      <c r="AH287">
        <v>14312444</v>
      </c>
    </row>
    <row r="288" spans="2:34">
      <c r="B288" t="s">
        <v>345</v>
      </c>
      <c r="C288" t="s">
        <v>668</v>
      </c>
      <c r="D288" s="3">
        <v>42860.332638888889</v>
      </c>
      <c r="F288">
        <v>2017</v>
      </c>
      <c r="G288" t="s">
        <v>578</v>
      </c>
      <c r="H288" t="s">
        <v>352</v>
      </c>
      <c r="J288">
        <v>0</v>
      </c>
      <c r="L288">
        <v>1</v>
      </c>
      <c r="M288">
        <v>210</v>
      </c>
      <c r="N288">
        <v>87</v>
      </c>
      <c r="O288" t="s">
        <v>575</v>
      </c>
      <c r="Q288" t="s">
        <v>576</v>
      </c>
      <c r="R288" t="s">
        <v>670</v>
      </c>
      <c r="U288">
        <v>8</v>
      </c>
      <c r="V288">
        <v>8</v>
      </c>
      <c r="W288" t="s">
        <v>350</v>
      </c>
      <c r="X288" t="s">
        <v>349</v>
      </c>
      <c r="Y288" t="s">
        <v>580</v>
      </c>
      <c r="Z288">
        <v>2017</v>
      </c>
      <c r="AB288">
        <v>13</v>
      </c>
      <c r="AC288">
        <v>7.04</v>
      </c>
      <c r="AE288" t="s">
        <v>346</v>
      </c>
      <c r="AF288">
        <v>46.142674</v>
      </c>
      <c r="AG288">
        <v>-115.598088</v>
      </c>
      <c r="AH288">
        <v>14312445</v>
      </c>
    </row>
    <row r="289" spans="2:34">
      <c r="B289" t="s">
        <v>345</v>
      </c>
      <c r="C289" t="s">
        <v>668</v>
      </c>
      <c r="D289" s="3">
        <v>42860.332638888889</v>
      </c>
      <c r="F289">
        <v>2017</v>
      </c>
      <c r="G289" t="s">
        <v>578</v>
      </c>
      <c r="H289" t="s">
        <v>352</v>
      </c>
      <c r="J289">
        <v>0</v>
      </c>
      <c r="L289">
        <v>1</v>
      </c>
      <c r="M289">
        <v>156</v>
      </c>
      <c r="N289">
        <v>30</v>
      </c>
      <c r="O289" t="s">
        <v>575</v>
      </c>
      <c r="Q289" t="s">
        <v>576</v>
      </c>
      <c r="R289" t="s">
        <v>670</v>
      </c>
      <c r="U289">
        <v>8</v>
      </c>
      <c r="V289">
        <v>8</v>
      </c>
      <c r="W289" t="s">
        <v>350</v>
      </c>
      <c r="X289" t="s">
        <v>349</v>
      </c>
      <c r="Y289" t="s">
        <v>580</v>
      </c>
      <c r="Z289">
        <v>2017</v>
      </c>
      <c r="AB289">
        <v>13</v>
      </c>
      <c r="AC289">
        <v>7.04</v>
      </c>
      <c r="AE289" t="s">
        <v>346</v>
      </c>
      <c r="AF289">
        <v>46.142674</v>
      </c>
      <c r="AG289">
        <v>-115.598088</v>
      </c>
      <c r="AH289">
        <v>14312446</v>
      </c>
    </row>
    <row r="290" spans="2:34">
      <c r="B290" t="s">
        <v>345</v>
      </c>
      <c r="C290" t="s">
        <v>668</v>
      </c>
      <c r="D290" s="3">
        <v>42860.332638888889</v>
      </c>
      <c r="F290">
        <v>2017</v>
      </c>
      <c r="G290" t="s">
        <v>578</v>
      </c>
      <c r="H290" t="s">
        <v>352</v>
      </c>
      <c r="J290">
        <v>0</v>
      </c>
      <c r="L290">
        <v>1</v>
      </c>
      <c r="M290">
        <v>160</v>
      </c>
      <c r="N290">
        <v>39</v>
      </c>
      <c r="O290" t="s">
        <v>575</v>
      </c>
      <c r="Q290" t="s">
        <v>576</v>
      </c>
      <c r="R290" t="s">
        <v>670</v>
      </c>
      <c r="U290">
        <v>8</v>
      </c>
      <c r="V290">
        <v>8</v>
      </c>
      <c r="W290" t="s">
        <v>350</v>
      </c>
      <c r="X290" t="s">
        <v>349</v>
      </c>
      <c r="Y290" t="s">
        <v>580</v>
      </c>
      <c r="Z290">
        <v>2017</v>
      </c>
      <c r="AB290">
        <v>13</v>
      </c>
      <c r="AC290">
        <v>7.04</v>
      </c>
      <c r="AE290" t="s">
        <v>346</v>
      </c>
      <c r="AF290">
        <v>46.142674</v>
      </c>
      <c r="AG290">
        <v>-115.598088</v>
      </c>
      <c r="AH290">
        <v>14312447</v>
      </c>
    </row>
    <row r="291" spans="2:34">
      <c r="B291" t="s">
        <v>345</v>
      </c>
      <c r="C291" t="s">
        <v>668</v>
      </c>
      <c r="D291" s="3">
        <v>42860.332638888889</v>
      </c>
      <c r="F291">
        <v>2017</v>
      </c>
      <c r="G291" t="s">
        <v>578</v>
      </c>
      <c r="H291" t="s">
        <v>352</v>
      </c>
      <c r="J291">
        <v>0</v>
      </c>
      <c r="L291">
        <v>1</v>
      </c>
      <c r="M291">
        <v>172</v>
      </c>
      <c r="N291">
        <v>41</v>
      </c>
      <c r="O291" t="s">
        <v>575</v>
      </c>
      <c r="Q291" t="s">
        <v>576</v>
      </c>
      <c r="R291" t="s">
        <v>670</v>
      </c>
      <c r="U291">
        <v>8</v>
      </c>
      <c r="V291">
        <v>8</v>
      </c>
      <c r="W291" t="s">
        <v>350</v>
      </c>
      <c r="X291" t="s">
        <v>349</v>
      </c>
      <c r="Y291" t="s">
        <v>580</v>
      </c>
      <c r="Z291">
        <v>2017</v>
      </c>
      <c r="AB291">
        <v>13</v>
      </c>
      <c r="AC291">
        <v>7.04</v>
      </c>
      <c r="AE291" t="s">
        <v>346</v>
      </c>
      <c r="AF291">
        <v>46.142674</v>
      </c>
      <c r="AG291">
        <v>-115.598088</v>
      </c>
      <c r="AH291">
        <v>14312448</v>
      </c>
    </row>
    <row r="292" spans="2:34">
      <c r="B292" t="s">
        <v>345</v>
      </c>
      <c r="C292" t="s">
        <v>668</v>
      </c>
      <c r="D292" s="3">
        <v>42860.332638888889</v>
      </c>
      <c r="F292">
        <v>2017</v>
      </c>
      <c r="G292" t="s">
        <v>578</v>
      </c>
      <c r="H292" t="s">
        <v>352</v>
      </c>
      <c r="J292">
        <v>0</v>
      </c>
      <c r="L292">
        <v>1</v>
      </c>
      <c r="M292">
        <v>185</v>
      </c>
      <c r="N292">
        <v>53</v>
      </c>
      <c r="O292" t="s">
        <v>575</v>
      </c>
      <c r="Q292" t="s">
        <v>576</v>
      </c>
      <c r="R292" t="s">
        <v>670</v>
      </c>
      <c r="U292">
        <v>8</v>
      </c>
      <c r="V292">
        <v>8</v>
      </c>
      <c r="W292" t="s">
        <v>350</v>
      </c>
      <c r="X292" t="s">
        <v>349</v>
      </c>
      <c r="Y292" t="s">
        <v>580</v>
      </c>
      <c r="Z292">
        <v>2017</v>
      </c>
      <c r="AB292">
        <v>13</v>
      </c>
      <c r="AC292">
        <v>7.04</v>
      </c>
      <c r="AE292" t="s">
        <v>346</v>
      </c>
      <c r="AF292">
        <v>46.142674</v>
      </c>
      <c r="AG292">
        <v>-115.598088</v>
      </c>
      <c r="AH292">
        <v>14312449</v>
      </c>
    </row>
    <row r="293" spans="2:34">
      <c r="B293" t="s">
        <v>345</v>
      </c>
      <c r="C293" t="s">
        <v>668</v>
      </c>
      <c r="D293" s="3">
        <v>42860.332638888889</v>
      </c>
      <c r="F293">
        <v>2017</v>
      </c>
      <c r="G293" t="s">
        <v>578</v>
      </c>
      <c r="H293" t="s">
        <v>352</v>
      </c>
      <c r="J293">
        <v>0</v>
      </c>
      <c r="L293">
        <v>1</v>
      </c>
      <c r="M293">
        <v>154</v>
      </c>
      <c r="N293">
        <v>32</v>
      </c>
      <c r="O293" t="s">
        <v>575</v>
      </c>
      <c r="Q293" t="s">
        <v>576</v>
      </c>
      <c r="R293" t="s">
        <v>670</v>
      </c>
      <c r="U293">
        <v>8</v>
      </c>
      <c r="V293">
        <v>8</v>
      </c>
      <c r="W293" t="s">
        <v>350</v>
      </c>
      <c r="X293" t="s">
        <v>349</v>
      </c>
      <c r="Y293" t="s">
        <v>580</v>
      </c>
      <c r="Z293">
        <v>2017</v>
      </c>
      <c r="AB293">
        <v>13</v>
      </c>
      <c r="AC293">
        <v>7.04</v>
      </c>
      <c r="AE293" t="s">
        <v>346</v>
      </c>
      <c r="AF293">
        <v>46.142674</v>
      </c>
      <c r="AG293">
        <v>-115.598088</v>
      </c>
      <c r="AH293">
        <v>14312450</v>
      </c>
    </row>
    <row r="294" spans="2:34">
      <c r="B294" t="s">
        <v>345</v>
      </c>
      <c r="C294" t="s">
        <v>668</v>
      </c>
      <c r="D294" s="3">
        <v>42860.332638888889</v>
      </c>
      <c r="F294">
        <v>2017</v>
      </c>
      <c r="G294" t="s">
        <v>578</v>
      </c>
      <c r="H294" t="s">
        <v>352</v>
      </c>
      <c r="J294">
        <v>0</v>
      </c>
      <c r="L294">
        <v>1</v>
      </c>
      <c r="M294">
        <v>172</v>
      </c>
      <c r="N294">
        <v>47</v>
      </c>
      <c r="O294" t="s">
        <v>575</v>
      </c>
      <c r="Q294" t="s">
        <v>721</v>
      </c>
      <c r="R294" t="s">
        <v>670</v>
      </c>
      <c r="U294">
        <v>8</v>
      </c>
      <c r="V294">
        <v>8</v>
      </c>
      <c r="W294" t="s">
        <v>350</v>
      </c>
      <c r="X294" t="s">
        <v>349</v>
      </c>
      <c r="Y294" t="s">
        <v>580</v>
      </c>
      <c r="Z294">
        <v>2017</v>
      </c>
      <c r="AB294">
        <v>13</v>
      </c>
      <c r="AC294">
        <v>7.04</v>
      </c>
      <c r="AE294" t="s">
        <v>346</v>
      </c>
      <c r="AF294">
        <v>46.142674</v>
      </c>
      <c r="AG294">
        <v>-115.598088</v>
      </c>
      <c r="AH294">
        <v>14312451</v>
      </c>
    </row>
    <row r="295" spans="2:34">
      <c r="B295" t="s">
        <v>345</v>
      </c>
      <c r="C295" t="s">
        <v>722</v>
      </c>
      <c r="D295" s="3">
        <v>42876.354166666664</v>
      </c>
      <c r="F295">
        <v>2017</v>
      </c>
      <c r="G295" t="s">
        <v>578</v>
      </c>
      <c r="H295" t="s">
        <v>352</v>
      </c>
      <c r="J295">
        <v>0</v>
      </c>
      <c r="L295">
        <v>1</v>
      </c>
      <c r="M295">
        <v>181</v>
      </c>
      <c r="N295">
        <v>53</v>
      </c>
      <c r="O295" t="s">
        <v>575</v>
      </c>
      <c r="Q295" t="s">
        <v>723</v>
      </c>
      <c r="R295" t="s">
        <v>724</v>
      </c>
      <c r="U295">
        <v>8</v>
      </c>
      <c r="V295">
        <v>7</v>
      </c>
      <c r="W295" t="s">
        <v>350</v>
      </c>
      <c r="X295" t="s">
        <v>349</v>
      </c>
      <c r="Y295" t="s">
        <v>580</v>
      </c>
      <c r="Z295">
        <v>2017</v>
      </c>
      <c r="AB295">
        <v>12</v>
      </c>
      <c r="AC295">
        <v>6.25</v>
      </c>
      <c r="AE295" t="s">
        <v>346</v>
      </c>
      <c r="AF295">
        <v>46.142674</v>
      </c>
      <c r="AG295">
        <v>-115.598088</v>
      </c>
      <c r="AH295">
        <v>14395009</v>
      </c>
    </row>
    <row r="296" spans="2:34">
      <c r="B296" t="s">
        <v>345</v>
      </c>
      <c r="C296" t="s">
        <v>722</v>
      </c>
      <c r="D296" s="3">
        <v>42876.354166666664</v>
      </c>
      <c r="F296">
        <v>2017</v>
      </c>
      <c r="G296" t="s">
        <v>578</v>
      </c>
      <c r="H296" t="s">
        <v>352</v>
      </c>
      <c r="J296">
        <v>0</v>
      </c>
      <c r="L296">
        <v>1</v>
      </c>
      <c r="M296">
        <v>179</v>
      </c>
      <c r="N296">
        <v>56</v>
      </c>
      <c r="O296" t="s">
        <v>575</v>
      </c>
      <c r="Q296" t="s">
        <v>725</v>
      </c>
      <c r="R296" t="s">
        <v>724</v>
      </c>
      <c r="U296">
        <v>8</v>
      </c>
      <c r="V296">
        <v>7</v>
      </c>
      <c r="W296" t="s">
        <v>350</v>
      </c>
      <c r="X296" t="s">
        <v>349</v>
      </c>
      <c r="Y296" t="s">
        <v>580</v>
      </c>
      <c r="Z296">
        <v>2017</v>
      </c>
      <c r="AB296">
        <v>12</v>
      </c>
      <c r="AC296">
        <v>6.25</v>
      </c>
      <c r="AE296" t="s">
        <v>346</v>
      </c>
      <c r="AF296">
        <v>46.142674</v>
      </c>
      <c r="AG296">
        <v>-115.598088</v>
      </c>
      <c r="AH296">
        <v>14395010</v>
      </c>
    </row>
    <row r="297" spans="2:34">
      <c r="B297" t="s">
        <v>345</v>
      </c>
      <c r="C297" t="s">
        <v>722</v>
      </c>
      <c r="D297" s="3">
        <v>42876.354166666664</v>
      </c>
      <c r="F297">
        <v>2017</v>
      </c>
      <c r="G297" t="s">
        <v>578</v>
      </c>
      <c r="H297" t="s">
        <v>352</v>
      </c>
      <c r="J297">
        <v>0</v>
      </c>
      <c r="L297">
        <v>1</v>
      </c>
      <c r="M297">
        <v>139</v>
      </c>
      <c r="N297">
        <v>25</v>
      </c>
      <c r="O297" t="s">
        <v>634</v>
      </c>
      <c r="P297" t="s">
        <v>635</v>
      </c>
      <c r="Q297" t="s">
        <v>635</v>
      </c>
      <c r="R297" t="s">
        <v>724</v>
      </c>
      <c r="U297">
        <v>8</v>
      </c>
      <c r="V297">
        <v>7</v>
      </c>
      <c r="W297" t="s">
        <v>350</v>
      </c>
      <c r="X297" t="s">
        <v>349</v>
      </c>
      <c r="Y297" t="s">
        <v>580</v>
      </c>
      <c r="Z297">
        <v>2017</v>
      </c>
      <c r="AB297">
        <v>12</v>
      </c>
      <c r="AC297">
        <v>6.25</v>
      </c>
      <c r="AE297" t="s">
        <v>346</v>
      </c>
      <c r="AF297">
        <v>46.142674</v>
      </c>
      <c r="AG297">
        <v>-115.598088</v>
      </c>
      <c r="AH297">
        <v>14395011</v>
      </c>
    </row>
    <row r="298" spans="2:34">
      <c r="B298" t="s">
        <v>345</v>
      </c>
      <c r="C298" t="s">
        <v>722</v>
      </c>
      <c r="D298" s="3">
        <v>42876.354166666664</v>
      </c>
      <c r="F298">
        <v>2017</v>
      </c>
      <c r="G298" t="s">
        <v>578</v>
      </c>
      <c r="H298" t="s">
        <v>352</v>
      </c>
      <c r="J298">
        <v>0</v>
      </c>
      <c r="L298">
        <v>1</v>
      </c>
      <c r="M298">
        <v>180</v>
      </c>
      <c r="N298">
        <v>52</v>
      </c>
      <c r="O298" t="s">
        <v>575</v>
      </c>
      <c r="Q298" t="s">
        <v>726</v>
      </c>
      <c r="R298" t="s">
        <v>724</v>
      </c>
      <c r="U298">
        <v>8</v>
      </c>
      <c r="V298">
        <v>7</v>
      </c>
      <c r="W298" t="s">
        <v>350</v>
      </c>
      <c r="X298" t="s">
        <v>349</v>
      </c>
      <c r="Y298" t="s">
        <v>580</v>
      </c>
      <c r="Z298">
        <v>2017</v>
      </c>
      <c r="AB298">
        <v>12</v>
      </c>
      <c r="AC298">
        <v>6.25</v>
      </c>
      <c r="AE298" t="s">
        <v>346</v>
      </c>
      <c r="AF298">
        <v>46.142674</v>
      </c>
      <c r="AG298">
        <v>-115.598088</v>
      </c>
      <c r="AH298">
        <v>14395012</v>
      </c>
    </row>
    <row r="299" spans="2:34">
      <c r="B299" t="s">
        <v>345</v>
      </c>
      <c r="C299" t="s">
        <v>722</v>
      </c>
      <c r="D299" s="3">
        <v>42876.354166666664</v>
      </c>
      <c r="F299">
        <v>2017</v>
      </c>
      <c r="G299" t="s">
        <v>578</v>
      </c>
      <c r="H299" t="s">
        <v>352</v>
      </c>
      <c r="J299">
        <v>0</v>
      </c>
      <c r="L299">
        <v>1</v>
      </c>
      <c r="M299">
        <v>160</v>
      </c>
      <c r="N299">
        <v>36</v>
      </c>
      <c r="O299" t="s">
        <v>575</v>
      </c>
      <c r="Q299" t="s">
        <v>727</v>
      </c>
      <c r="R299" t="s">
        <v>724</v>
      </c>
      <c r="U299">
        <v>8</v>
      </c>
      <c r="V299">
        <v>7</v>
      </c>
      <c r="W299" t="s">
        <v>350</v>
      </c>
      <c r="X299" t="s">
        <v>349</v>
      </c>
      <c r="Y299" t="s">
        <v>580</v>
      </c>
      <c r="Z299">
        <v>2017</v>
      </c>
      <c r="AB299">
        <v>12</v>
      </c>
      <c r="AC299">
        <v>6.25</v>
      </c>
      <c r="AE299" t="s">
        <v>346</v>
      </c>
      <c r="AF299">
        <v>46.142674</v>
      </c>
      <c r="AG299">
        <v>-115.598088</v>
      </c>
      <c r="AH299">
        <v>14395013</v>
      </c>
    </row>
    <row r="300" spans="2:34">
      <c r="B300" t="s">
        <v>345</v>
      </c>
      <c r="C300" t="s">
        <v>722</v>
      </c>
      <c r="D300" s="3">
        <v>42876.354166666664</v>
      </c>
      <c r="F300">
        <v>2017</v>
      </c>
      <c r="G300" t="s">
        <v>605</v>
      </c>
      <c r="H300" t="s">
        <v>352</v>
      </c>
      <c r="J300">
        <v>0</v>
      </c>
      <c r="L300">
        <v>1</v>
      </c>
      <c r="M300">
        <v>110</v>
      </c>
      <c r="N300">
        <v>16</v>
      </c>
      <c r="O300" t="s">
        <v>353</v>
      </c>
      <c r="R300" t="s">
        <v>724</v>
      </c>
      <c r="U300">
        <v>8</v>
      </c>
      <c r="V300">
        <v>7</v>
      </c>
      <c r="W300" t="s">
        <v>350</v>
      </c>
      <c r="X300" t="s">
        <v>349</v>
      </c>
      <c r="Y300" t="s">
        <v>580</v>
      </c>
      <c r="Z300">
        <v>2017</v>
      </c>
      <c r="AB300">
        <v>12</v>
      </c>
      <c r="AC300">
        <v>6.25</v>
      </c>
      <c r="AE300" t="s">
        <v>346</v>
      </c>
      <c r="AF300">
        <v>46.142674</v>
      </c>
      <c r="AG300">
        <v>-115.598088</v>
      </c>
      <c r="AH300">
        <v>14395014</v>
      </c>
    </row>
    <row r="301" spans="2:34">
      <c r="B301" t="s">
        <v>345</v>
      </c>
      <c r="C301" t="s">
        <v>722</v>
      </c>
      <c r="D301" s="3">
        <v>42876.354166666664</v>
      </c>
      <c r="F301">
        <v>2017</v>
      </c>
      <c r="G301" t="s">
        <v>578</v>
      </c>
      <c r="H301" t="s">
        <v>352</v>
      </c>
      <c r="J301">
        <v>0</v>
      </c>
      <c r="L301">
        <v>1</v>
      </c>
      <c r="M301">
        <v>172</v>
      </c>
      <c r="N301">
        <v>49</v>
      </c>
      <c r="O301" t="s">
        <v>575</v>
      </c>
      <c r="Q301" t="s">
        <v>728</v>
      </c>
      <c r="R301" t="s">
        <v>724</v>
      </c>
      <c r="U301">
        <v>8</v>
      </c>
      <c r="V301">
        <v>7</v>
      </c>
      <c r="W301" t="s">
        <v>350</v>
      </c>
      <c r="X301" t="s">
        <v>349</v>
      </c>
      <c r="Y301" t="s">
        <v>580</v>
      </c>
      <c r="Z301">
        <v>2017</v>
      </c>
      <c r="AB301">
        <v>12</v>
      </c>
      <c r="AC301">
        <v>6.25</v>
      </c>
      <c r="AE301" t="s">
        <v>346</v>
      </c>
      <c r="AF301">
        <v>46.142674</v>
      </c>
      <c r="AG301">
        <v>-115.598088</v>
      </c>
      <c r="AH301">
        <v>14395015</v>
      </c>
    </row>
    <row r="302" spans="2:34">
      <c r="B302" t="s">
        <v>345</v>
      </c>
      <c r="C302" t="s">
        <v>722</v>
      </c>
      <c r="D302" s="3">
        <v>42876.354166666664</v>
      </c>
      <c r="F302">
        <v>2017</v>
      </c>
      <c r="G302" t="s">
        <v>578</v>
      </c>
      <c r="H302" t="s">
        <v>352</v>
      </c>
      <c r="J302">
        <v>0</v>
      </c>
      <c r="L302">
        <v>1</v>
      </c>
      <c r="M302">
        <v>161</v>
      </c>
      <c r="N302">
        <v>36</v>
      </c>
      <c r="O302" t="s">
        <v>575</v>
      </c>
      <c r="Q302" t="s">
        <v>729</v>
      </c>
      <c r="R302" t="s">
        <v>724</v>
      </c>
      <c r="U302">
        <v>8</v>
      </c>
      <c r="V302">
        <v>7</v>
      </c>
      <c r="W302" t="s">
        <v>350</v>
      </c>
      <c r="X302" t="s">
        <v>349</v>
      </c>
      <c r="Y302" t="s">
        <v>580</v>
      </c>
      <c r="Z302">
        <v>2017</v>
      </c>
      <c r="AB302">
        <v>12</v>
      </c>
      <c r="AC302">
        <v>6.25</v>
      </c>
      <c r="AE302" t="s">
        <v>346</v>
      </c>
      <c r="AF302">
        <v>46.142674</v>
      </c>
      <c r="AG302">
        <v>-115.598088</v>
      </c>
      <c r="AH302">
        <v>14395016</v>
      </c>
    </row>
    <row r="303" spans="2:34">
      <c r="B303" t="s">
        <v>345</v>
      </c>
      <c r="C303" t="s">
        <v>730</v>
      </c>
      <c r="D303" s="3">
        <v>42974.688888888886</v>
      </c>
      <c r="F303">
        <v>2017</v>
      </c>
      <c r="G303" t="s">
        <v>480</v>
      </c>
      <c r="H303" t="s">
        <v>352</v>
      </c>
      <c r="J303">
        <v>0</v>
      </c>
      <c r="L303">
        <v>3</v>
      </c>
      <c r="M303">
        <v>0</v>
      </c>
      <c r="N303">
        <v>0</v>
      </c>
      <c r="O303" t="s">
        <v>643</v>
      </c>
      <c r="R303" t="s">
        <v>603</v>
      </c>
      <c r="U303">
        <v>25</v>
      </c>
      <c r="V303">
        <v>25</v>
      </c>
      <c r="W303" t="s">
        <v>350</v>
      </c>
      <c r="X303" t="s">
        <v>349</v>
      </c>
      <c r="Y303" t="s">
        <v>348</v>
      </c>
      <c r="Z303">
        <v>2017</v>
      </c>
      <c r="AB303">
        <v>5</v>
      </c>
      <c r="AC303">
        <v>1.87</v>
      </c>
      <c r="AE303" t="s">
        <v>346</v>
      </c>
      <c r="AF303">
        <v>46.142674</v>
      </c>
      <c r="AG303">
        <v>-115.598088</v>
      </c>
      <c r="AH303">
        <v>14454520</v>
      </c>
    </row>
    <row r="304" spans="2:34">
      <c r="B304" t="s">
        <v>345</v>
      </c>
      <c r="C304" t="s">
        <v>730</v>
      </c>
      <c r="D304" s="3">
        <v>42974.688888888886</v>
      </c>
      <c r="F304">
        <v>2017</v>
      </c>
      <c r="G304" t="s">
        <v>605</v>
      </c>
      <c r="H304" t="s">
        <v>352</v>
      </c>
      <c r="J304">
        <v>0</v>
      </c>
      <c r="L304">
        <v>55</v>
      </c>
      <c r="M304">
        <v>0</v>
      </c>
      <c r="N304">
        <v>0</v>
      </c>
      <c r="O304" t="s">
        <v>606</v>
      </c>
      <c r="R304" t="s">
        <v>603</v>
      </c>
      <c r="U304">
        <v>25</v>
      </c>
      <c r="V304">
        <v>25</v>
      </c>
      <c r="W304" t="s">
        <v>350</v>
      </c>
      <c r="X304" t="s">
        <v>349</v>
      </c>
      <c r="Y304" t="s">
        <v>348</v>
      </c>
      <c r="Z304">
        <v>2017</v>
      </c>
      <c r="AB304">
        <v>5</v>
      </c>
      <c r="AC304">
        <v>1.87</v>
      </c>
      <c r="AE304" t="s">
        <v>346</v>
      </c>
      <c r="AF304">
        <v>46.142674</v>
      </c>
      <c r="AG304">
        <v>-115.598088</v>
      </c>
      <c r="AH304">
        <v>14454521</v>
      </c>
    </row>
    <row r="305" spans="2:35">
      <c r="B305" t="s">
        <v>345</v>
      </c>
      <c r="C305" t="s">
        <v>731</v>
      </c>
      <c r="D305" s="3">
        <v>42865.488194444442</v>
      </c>
      <c r="F305">
        <v>2017</v>
      </c>
      <c r="G305" t="s">
        <v>578</v>
      </c>
      <c r="H305" t="s">
        <v>352</v>
      </c>
      <c r="J305">
        <v>0</v>
      </c>
      <c r="L305">
        <v>1</v>
      </c>
      <c r="M305">
        <v>150</v>
      </c>
      <c r="N305">
        <v>32</v>
      </c>
      <c r="O305" t="s">
        <v>575</v>
      </c>
      <c r="Q305" t="s">
        <v>732</v>
      </c>
      <c r="R305" t="s">
        <v>608</v>
      </c>
      <c r="U305">
        <v>10</v>
      </c>
      <c r="V305">
        <v>7.5</v>
      </c>
      <c r="W305" t="s">
        <v>350</v>
      </c>
      <c r="X305" t="s">
        <v>349</v>
      </c>
      <c r="Y305" t="s">
        <v>348</v>
      </c>
      <c r="Z305">
        <v>2017</v>
      </c>
      <c r="AB305">
        <v>12</v>
      </c>
      <c r="AC305">
        <v>7.42</v>
      </c>
      <c r="AE305" t="s">
        <v>346</v>
      </c>
      <c r="AF305">
        <v>46.142674</v>
      </c>
      <c r="AG305">
        <v>-115.598088</v>
      </c>
      <c r="AH305">
        <v>14454852</v>
      </c>
      <c r="AI305">
        <f>17-76487</f>
        <v>-76470</v>
      </c>
    </row>
    <row r="306" spans="2:35">
      <c r="B306" t="s">
        <v>345</v>
      </c>
      <c r="C306" t="s">
        <v>731</v>
      </c>
      <c r="D306" s="3">
        <v>42865.488194444442</v>
      </c>
      <c r="F306">
        <v>2017</v>
      </c>
      <c r="G306" t="s">
        <v>578</v>
      </c>
      <c r="H306" t="s">
        <v>352</v>
      </c>
      <c r="J306">
        <v>0</v>
      </c>
      <c r="L306">
        <v>1</v>
      </c>
      <c r="M306">
        <v>177</v>
      </c>
      <c r="N306">
        <v>56</v>
      </c>
      <c r="O306" t="s">
        <v>575</v>
      </c>
      <c r="Q306" t="s">
        <v>733</v>
      </c>
      <c r="R306" t="s">
        <v>608</v>
      </c>
      <c r="U306">
        <v>10</v>
      </c>
      <c r="V306">
        <v>7.5</v>
      </c>
      <c r="W306" t="s">
        <v>350</v>
      </c>
      <c r="X306" t="s">
        <v>349</v>
      </c>
      <c r="Y306" t="s">
        <v>348</v>
      </c>
      <c r="Z306">
        <v>2017</v>
      </c>
      <c r="AB306">
        <v>12</v>
      </c>
      <c r="AC306">
        <v>7.42</v>
      </c>
      <c r="AE306" t="s">
        <v>346</v>
      </c>
      <c r="AF306">
        <v>46.142674</v>
      </c>
      <c r="AG306">
        <v>-115.598088</v>
      </c>
      <c r="AH306">
        <v>14454853</v>
      </c>
      <c r="AI306">
        <f>17-76481</f>
        <v>-76464</v>
      </c>
    </row>
    <row r="307" spans="2:35">
      <c r="B307" t="s">
        <v>345</v>
      </c>
      <c r="C307" t="s">
        <v>731</v>
      </c>
      <c r="D307" s="3">
        <v>42865.488194444442</v>
      </c>
      <c r="F307">
        <v>2017</v>
      </c>
      <c r="G307" t="s">
        <v>578</v>
      </c>
      <c r="H307" t="s">
        <v>352</v>
      </c>
      <c r="J307">
        <v>0</v>
      </c>
      <c r="L307">
        <v>1</v>
      </c>
      <c r="M307">
        <v>161</v>
      </c>
      <c r="N307">
        <v>37</v>
      </c>
      <c r="O307" t="s">
        <v>575</v>
      </c>
      <c r="Q307" t="s">
        <v>734</v>
      </c>
      <c r="R307" t="s">
        <v>608</v>
      </c>
      <c r="U307">
        <v>10</v>
      </c>
      <c r="V307">
        <v>7.5</v>
      </c>
      <c r="W307" t="s">
        <v>350</v>
      </c>
      <c r="X307" t="s">
        <v>349</v>
      </c>
      <c r="Y307" t="s">
        <v>348</v>
      </c>
      <c r="Z307">
        <v>2017</v>
      </c>
      <c r="AB307">
        <v>12</v>
      </c>
      <c r="AC307">
        <v>7.42</v>
      </c>
      <c r="AE307" t="s">
        <v>346</v>
      </c>
      <c r="AF307">
        <v>46.142674</v>
      </c>
      <c r="AG307">
        <v>-115.598088</v>
      </c>
      <c r="AH307">
        <v>14454854</v>
      </c>
      <c r="AI307">
        <f>17-76480</f>
        <v>-76463</v>
      </c>
    </row>
    <row r="308" spans="2:35">
      <c r="B308" t="s">
        <v>345</v>
      </c>
      <c r="C308" t="s">
        <v>731</v>
      </c>
      <c r="D308" s="3">
        <v>42865.488194444442</v>
      </c>
      <c r="F308">
        <v>2017</v>
      </c>
      <c r="G308" t="s">
        <v>578</v>
      </c>
      <c r="H308" t="s">
        <v>352</v>
      </c>
      <c r="J308">
        <v>0</v>
      </c>
      <c r="L308">
        <v>1</v>
      </c>
      <c r="M308">
        <v>155</v>
      </c>
      <c r="N308">
        <v>35</v>
      </c>
      <c r="O308" t="s">
        <v>575</v>
      </c>
      <c r="Q308" t="s">
        <v>735</v>
      </c>
      <c r="R308" t="s">
        <v>608</v>
      </c>
      <c r="U308">
        <v>10</v>
      </c>
      <c r="V308">
        <v>7.5</v>
      </c>
      <c r="W308" t="s">
        <v>350</v>
      </c>
      <c r="X308" t="s">
        <v>349</v>
      </c>
      <c r="Y308" t="s">
        <v>348</v>
      </c>
      <c r="Z308">
        <v>2017</v>
      </c>
      <c r="AB308">
        <v>12</v>
      </c>
      <c r="AC308">
        <v>7.42</v>
      </c>
      <c r="AE308" t="s">
        <v>346</v>
      </c>
      <c r="AF308">
        <v>46.142674</v>
      </c>
      <c r="AG308">
        <v>-115.598088</v>
      </c>
      <c r="AH308">
        <v>14454855</v>
      </c>
      <c r="AI308">
        <f>17-76484</f>
        <v>-76467</v>
      </c>
    </row>
    <row r="309" spans="2:35">
      <c r="B309" t="s">
        <v>345</v>
      </c>
      <c r="C309" t="s">
        <v>731</v>
      </c>
      <c r="D309" s="3">
        <v>42865.488194444442</v>
      </c>
      <c r="F309">
        <v>2017</v>
      </c>
      <c r="G309" t="s">
        <v>578</v>
      </c>
      <c r="H309" t="s">
        <v>352</v>
      </c>
      <c r="J309">
        <v>0</v>
      </c>
      <c r="L309">
        <v>1</v>
      </c>
      <c r="M309">
        <v>156</v>
      </c>
      <c r="N309">
        <v>35</v>
      </c>
      <c r="O309" t="s">
        <v>575</v>
      </c>
      <c r="Q309" t="s">
        <v>736</v>
      </c>
      <c r="R309" t="s">
        <v>608</v>
      </c>
      <c r="U309">
        <v>10</v>
      </c>
      <c r="V309">
        <v>7.5</v>
      </c>
      <c r="W309" t="s">
        <v>350</v>
      </c>
      <c r="X309" t="s">
        <v>349</v>
      </c>
      <c r="Y309" t="s">
        <v>348</v>
      </c>
      <c r="Z309">
        <v>2017</v>
      </c>
      <c r="AB309">
        <v>12</v>
      </c>
      <c r="AC309">
        <v>7.42</v>
      </c>
      <c r="AE309" t="s">
        <v>346</v>
      </c>
      <c r="AF309">
        <v>46.142674</v>
      </c>
      <c r="AG309">
        <v>-115.598088</v>
      </c>
      <c r="AH309">
        <v>14454856</v>
      </c>
      <c r="AI309">
        <f>17-76488</f>
        <v>-76471</v>
      </c>
    </row>
    <row r="310" spans="2:35">
      <c r="B310" t="s">
        <v>345</v>
      </c>
      <c r="C310" t="s">
        <v>731</v>
      </c>
      <c r="D310" s="3">
        <v>42865.488194444442</v>
      </c>
      <c r="F310">
        <v>2017</v>
      </c>
      <c r="G310" t="s">
        <v>578</v>
      </c>
      <c r="H310" t="s">
        <v>352</v>
      </c>
      <c r="J310">
        <v>0</v>
      </c>
      <c r="L310">
        <v>1</v>
      </c>
      <c r="M310">
        <v>164</v>
      </c>
      <c r="N310">
        <v>42</v>
      </c>
      <c r="O310" t="s">
        <v>575</v>
      </c>
      <c r="Q310" t="s">
        <v>737</v>
      </c>
      <c r="R310" t="s">
        <v>608</v>
      </c>
      <c r="U310">
        <v>10</v>
      </c>
      <c r="V310">
        <v>7.5</v>
      </c>
      <c r="W310" t="s">
        <v>350</v>
      </c>
      <c r="X310" t="s">
        <v>349</v>
      </c>
      <c r="Y310" t="s">
        <v>348</v>
      </c>
      <c r="Z310">
        <v>2017</v>
      </c>
      <c r="AB310">
        <v>12</v>
      </c>
      <c r="AC310">
        <v>7.42</v>
      </c>
      <c r="AE310" t="s">
        <v>346</v>
      </c>
      <c r="AF310">
        <v>46.142674</v>
      </c>
      <c r="AG310">
        <v>-115.598088</v>
      </c>
      <c r="AH310">
        <v>14454857</v>
      </c>
      <c r="AI310">
        <f>17-76482</f>
        <v>-76465</v>
      </c>
    </row>
    <row r="311" spans="2:35">
      <c r="B311" t="s">
        <v>345</v>
      </c>
      <c r="C311" t="s">
        <v>731</v>
      </c>
      <c r="D311" s="3">
        <v>42865.488194444442</v>
      </c>
      <c r="F311">
        <v>2017</v>
      </c>
      <c r="G311" t="s">
        <v>578</v>
      </c>
      <c r="H311" t="s">
        <v>352</v>
      </c>
      <c r="J311">
        <v>0</v>
      </c>
      <c r="L311">
        <v>1</v>
      </c>
      <c r="M311">
        <v>181</v>
      </c>
      <c r="N311">
        <v>53</v>
      </c>
      <c r="O311" t="s">
        <v>575</v>
      </c>
      <c r="Q311" t="s">
        <v>738</v>
      </c>
      <c r="R311" t="s">
        <v>608</v>
      </c>
      <c r="U311">
        <v>10</v>
      </c>
      <c r="V311">
        <v>7.5</v>
      </c>
      <c r="W311" t="s">
        <v>350</v>
      </c>
      <c r="X311" t="s">
        <v>349</v>
      </c>
      <c r="Y311" t="s">
        <v>348</v>
      </c>
      <c r="Z311">
        <v>2017</v>
      </c>
      <c r="AB311">
        <v>12</v>
      </c>
      <c r="AC311">
        <v>7.42</v>
      </c>
      <c r="AE311" t="s">
        <v>346</v>
      </c>
      <c r="AF311">
        <v>46.142674</v>
      </c>
      <c r="AG311">
        <v>-115.598088</v>
      </c>
      <c r="AH311">
        <v>14454858</v>
      </c>
      <c r="AI311">
        <f>17-76483</f>
        <v>-76466</v>
      </c>
    </row>
    <row r="312" spans="2:35">
      <c r="B312" t="s">
        <v>345</v>
      </c>
      <c r="C312" t="s">
        <v>731</v>
      </c>
      <c r="D312" s="3">
        <v>42865.488194444442</v>
      </c>
      <c r="F312">
        <v>2017</v>
      </c>
      <c r="G312" t="s">
        <v>605</v>
      </c>
      <c r="H312" t="s">
        <v>352</v>
      </c>
      <c r="J312">
        <v>0</v>
      </c>
      <c r="L312">
        <v>1</v>
      </c>
      <c r="M312">
        <v>94</v>
      </c>
      <c r="N312">
        <v>9</v>
      </c>
      <c r="O312" t="s">
        <v>353</v>
      </c>
      <c r="R312" t="s">
        <v>608</v>
      </c>
      <c r="U312">
        <v>10</v>
      </c>
      <c r="V312">
        <v>7.5</v>
      </c>
      <c r="W312" t="s">
        <v>350</v>
      </c>
      <c r="X312" t="s">
        <v>349</v>
      </c>
      <c r="Y312" t="s">
        <v>348</v>
      </c>
      <c r="Z312">
        <v>2017</v>
      </c>
      <c r="AB312">
        <v>12</v>
      </c>
      <c r="AC312">
        <v>7.42</v>
      </c>
      <c r="AE312" t="s">
        <v>346</v>
      </c>
      <c r="AF312">
        <v>46.142674</v>
      </c>
      <c r="AG312">
        <v>-115.598088</v>
      </c>
      <c r="AH312">
        <v>14454859</v>
      </c>
    </row>
    <row r="313" spans="2:35">
      <c r="B313" t="s">
        <v>345</v>
      </c>
      <c r="C313" t="s">
        <v>731</v>
      </c>
      <c r="D313" s="3">
        <v>42865.488194444442</v>
      </c>
      <c r="F313">
        <v>2017</v>
      </c>
      <c r="G313" t="s">
        <v>578</v>
      </c>
      <c r="H313" t="s">
        <v>352</v>
      </c>
      <c r="J313">
        <v>0</v>
      </c>
      <c r="L313">
        <v>1</v>
      </c>
      <c r="M313">
        <v>165</v>
      </c>
      <c r="N313">
        <v>43</v>
      </c>
      <c r="O313" t="s">
        <v>575</v>
      </c>
      <c r="Q313" t="s">
        <v>739</v>
      </c>
      <c r="R313" t="s">
        <v>608</v>
      </c>
      <c r="U313">
        <v>10</v>
      </c>
      <c r="V313">
        <v>7.5</v>
      </c>
      <c r="W313" t="s">
        <v>350</v>
      </c>
      <c r="X313" t="s">
        <v>349</v>
      </c>
      <c r="Y313" t="s">
        <v>348</v>
      </c>
      <c r="Z313">
        <v>2017</v>
      </c>
      <c r="AB313">
        <v>12</v>
      </c>
      <c r="AC313">
        <v>7.42</v>
      </c>
      <c r="AE313" t="s">
        <v>346</v>
      </c>
      <c r="AF313">
        <v>46.142674</v>
      </c>
      <c r="AG313">
        <v>-115.598088</v>
      </c>
      <c r="AH313">
        <v>14454860</v>
      </c>
      <c r="AI313">
        <f>17-76489</f>
        <v>-76472</v>
      </c>
    </row>
    <row r="314" spans="2:35">
      <c r="B314" t="s">
        <v>345</v>
      </c>
      <c r="C314" t="s">
        <v>731</v>
      </c>
      <c r="D314" s="3">
        <v>42865.488194444442</v>
      </c>
      <c r="F314">
        <v>2017</v>
      </c>
      <c r="G314" t="s">
        <v>578</v>
      </c>
      <c r="H314" t="s">
        <v>352</v>
      </c>
      <c r="J314">
        <v>0</v>
      </c>
      <c r="L314">
        <v>1</v>
      </c>
      <c r="M314">
        <v>166</v>
      </c>
      <c r="N314">
        <v>36</v>
      </c>
      <c r="O314" t="s">
        <v>575</v>
      </c>
      <c r="Q314" t="s">
        <v>740</v>
      </c>
      <c r="R314" t="s">
        <v>608</v>
      </c>
      <c r="U314">
        <v>10</v>
      </c>
      <c r="V314">
        <v>7.5</v>
      </c>
      <c r="W314" t="s">
        <v>350</v>
      </c>
      <c r="X314" t="s">
        <v>349</v>
      </c>
      <c r="Y314" t="s">
        <v>348</v>
      </c>
      <c r="Z314">
        <v>2017</v>
      </c>
      <c r="AB314">
        <v>12</v>
      </c>
      <c r="AC314">
        <v>7.42</v>
      </c>
      <c r="AE314" t="s">
        <v>346</v>
      </c>
      <c r="AF314">
        <v>46.142674</v>
      </c>
      <c r="AG314">
        <v>-115.598088</v>
      </c>
      <c r="AH314">
        <v>14454861</v>
      </c>
      <c r="AI314">
        <f>17-76485</f>
        <v>-76468</v>
      </c>
    </row>
    <row r="315" spans="2:35">
      <c r="B315" t="s">
        <v>345</v>
      </c>
      <c r="C315" t="s">
        <v>731</v>
      </c>
      <c r="D315" s="3">
        <v>42865.488194444442</v>
      </c>
      <c r="F315">
        <v>2017</v>
      </c>
      <c r="G315" t="s">
        <v>605</v>
      </c>
      <c r="H315" t="s">
        <v>352</v>
      </c>
      <c r="J315">
        <v>0</v>
      </c>
      <c r="L315">
        <v>1</v>
      </c>
      <c r="M315">
        <v>93</v>
      </c>
      <c r="N315">
        <v>10</v>
      </c>
      <c r="O315" t="s">
        <v>353</v>
      </c>
      <c r="R315" t="s">
        <v>608</v>
      </c>
      <c r="U315">
        <v>10</v>
      </c>
      <c r="V315">
        <v>7.5</v>
      </c>
      <c r="W315" t="s">
        <v>350</v>
      </c>
      <c r="X315" t="s">
        <v>349</v>
      </c>
      <c r="Y315" t="s">
        <v>348</v>
      </c>
      <c r="Z315">
        <v>2017</v>
      </c>
      <c r="AB315">
        <v>12</v>
      </c>
      <c r="AC315">
        <v>7.42</v>
      </c>
      <c r="AE315" t="s">
        <v>346</v>
      </c>
      <c r="AF315">
        <v>46.142674</v>
      </c>
      <c r="AG315">
        <v>-115.598088</v>
      </c>
      <c r="AH315">
        <v>14454862</v>
      </c>
    </row>
    <row r="316" spans="2:35">
      <c r="B316" t="s">
        <v>345</v>
      </c>
      <c r="C316" t="s">
        <v>731</v>
      </c>
      <c r="D316" s="3">
        <v>42865.488194444442</v>
      </c>
      <c r="F316">
        <v>2017</v>
      </c>
      <c r="G316" t="s">
        <v>578</v>
      </c>
      <c r="H316" t="s">
        <v>352</v>
      </c>
      <c r="J316">
        <v>0</v>
      </c>
      <c r="L316">
        <v>1</v>
      </c>
      <c r="M316">
        <v>161</v>
      </c>
      <c r="N316">
        <v>39</v>
      </c>
      <c r="O316" t="s">
        <v>634</v>
      </c>
      <c r="P316" t="s">
        <v>635</v>
      </c>
      <c r="Q316" t="s">
        <v>635</v>
      </c>
      <c r="R316" t="s">
        <v>608</v>
      </c>
      <c r="U316">
        <v>10</v>
      </c>
      <c r="V316">
        <v>7.5</v>
      </c>
      <c r="W316" t="s">
        <v>350</v>
      </c>
      <c r="X316" t="s">
        <v>349</v>
      </c>
      <c r="Y316" t="s">
        <v>348</v>
      </c>
      <c r="Z316">
        <v>2017</v>
      </c>
      <c r="AB316">
        <v>12</v>
      </c>
      <c r="AC316">
        <v>7.42</v>
      </c>
      <c r="AE316" t="s">
        <v>346</v>
      </c>
      <c r="AF316">
        <v>46.142674</v>
      </c>
      <c r="AG316">
        <v>-115.598088</v>
      </c>
      <c r="AH316">
        <v>14454863</v>
      </c>
    </row>
    <row r="317" spans="2:35">
      <c r="B317" t="s">
        <v>345</v>
      </c>
      <c r="C317" t="s">
        <v>731</v>
      </c>
      <c r="D317" s="3">
        <v>42865.488194444442</v>
      </c>
      <c r="F317">
        <v>2017</v>
      </c>
      <c r="G317" t="s">
        <v>578</v>
      </c>
      <c r="H317" t="s">
        <v>352</v>
      </c>
      <c r="J317">
        <v>0</v>
      </c>
      <c r="L317">
        <v>1</v>
      </c>
      <c r="M317">
        <v>163</v>
      </c>
      <c r="N317">
        <v>40</v>
      </c>
      <c r="O317" t="s">
        <v>575</v>
      </c>
      <c r="Q317" t="s">
        <v>741</v>
      </c>
      <c r="R317" t="s">
        <v>608</v>
      </c>
      <c r="U317">
        <v>10</v>
      </c>
      <c r="V317">
        <v>7.5</v>
      </c>
      <c r="W317" t="s">
        <v>350</v>
      </c>
      <c r="X317" t="s">
        <v>349</v>
      </c>
      <c r="Y317" t="s">
        <v>348</v>
      </c>
      <c r="Z317">
        <v>2017</v>
      </c>
      <c r="AB317">
        <v>12</v>
      </c>
      <c r="AC317">
        <v>7.42</v>
      </c>
      <c r="AE317" t="s">
        <v>346</v>
      </c>
      <c r="AF317">
        <v>46.142674</v>
      </c>
      <c r="AG317">
        <v>-115.598088</v>
      </c>
      <c r="AH317">
        <v>14454864</v>
      </c>
      <c r="AI317">
        <f>17-76486</f>
        <v>-76469</v>
      </c>
    </row>
    <row r="318" spans="2:35">
      <c r="B318" t="s">
        <v>345</v>
      </c>
      <c r="C318" t="s">
        <v>742</v>
      </c>
      <c r="D318" s="3">
        <v>42917.37222222222</v>
      </c>
      <c r="F318">
        <v>2017</v>
      </c>
      <c r="G318" t="s">
        <v>611</v>
      </c>
      <c r="H318" t="s">
        <v>352</v>
      </c>
      <c r="J318">
        <v>0</v>
      </c>
      <c r="L318">
        <v>1</v>
      </c>
      <c r="M318">
        <v>90</v>
      </c>
      <c r="N318">
        <v>10</v>
      </c>
      <c r="O318" t="s">
        <v>353</v>
      </c>
      <c r="R318" t="s">
        <v>608</v>
      </c>
      <c r="U318">
        <v>15</v>
      </c>
      <c r="V318">
        <v>15</v>
      </c>
      <c r="W318" t="s">
        <v>350</v>
      </c>
      <c r="X318" t="s">
        <v>349</v>
      </c>
      <c r="Y318" t="s">
        <v>348</v>
      </c>
      <c r="Z318">
        <v>2017</v>
      </c>
      <c r="AB318">
        <v>9</v>
      </c>
      <c r="AC318">
        <v>3.84</v>
      </c>
      <c r="AE318" t="s">
        <v>346</v>
      </c>
      <c r="AF318">
        <v>46.142674</v>
      </c>
      <c r="AG318">
        <v>-115.598088</v>
      </c>
      <c r="AH318">
        <v>14476536</v>
      </c>
    </row>
    <row r="319" spans="2:35">
      <c r="B319" t="s">
        <v>345</v>
      </c>
      <c r="C319" t="s">
        <v>742</v>
      </c>
      <c r="D319" s="3">
        <v>42917.37222222222</v>
      </c>
      <c r="F319">
        <v>2017</v>
      </c>
      <c r="G319" t="s">
        <v>574</v>
      </c>
      <c r="H319" t="s">
        <v>352</v>
      </c>
      <c r="J319">
        <v>0</v>
      </c>
      <c r="L319">
        <v>1</v>
      </c>
      <c r="M319">
        <v>82</v>
      </c>
      <c r="N319">
        <v>6</v>
      </c>
      <c r="O319" t="s">
        <v>575</v>
      </c>
      <c r="Q319" t="s">
        <v>576</v>
      </c>
      <c r="R319" t="s">
        <v>608</v>
      </c>
      <c r="U319">
        <v>15</v>
      </c>
      <c r="V319">
        <v>15</v>
      </c>
      <c r="W319" t="s">
        <v>350</v>
      </c>
      <c r="X319" t="s">
        <v>349</v>
      </c>
      <c r="Y319" t="s">
        <v>348</v>
      </c>
      <c r="Z319">
        <v>2017</v>
      </c>
      <c r="AB319">
        <v>9</v>
      </c>
      <c r="AC319">
        <v>3.84</v>
      </c>
      <c r="AE319" t="s">
        <v>346</v>
      </c>
      <c r="AF319">
        <v>46.142674</v>
      </c>
      <c r="AG319">
        <v>-115.598088</v>
      </c>
      <c r="AH319">
        <v>14476537</v>
      </c>
    </row>
    <row r="320" spans="2:35">
      <c r="B320" t="s">
        <v>345</v>
      </c>
      <c r="C320" t="s">
        <v>742</v>
      </c>
      <c r="D320" s="3">
        <v>42917.37222222222</v>
      </c>
      <c r="F320">
        <v>2017</v>
      </c>
      <c r="G320" t="s">
        <v>605</v>
      </c>
      <c r="H320" t="s">
        <v>352</v>
      </c>
      <c r="J320">
        <v>0</v>
      </c>
      <c r="L320">
        <v>1</v>
      </c>
      <c r="M320">
        <v>32</v>
      </c>
      <c r="N320">
        <v>0</v>
      </c>
      <c r="O320" t="s">
        <v>353</v>
      </c>
      <c r="R320" t="s">
        <v>608</v>
      </c>
      <c r="U320">
        <v>15</v>
      </c>
      <c r="V320">
        <v>15</v>
      </c>
      <c r="W320" t="s">
        <v>350</v>
      </c>
      <c r="X320" t="s">
        <v>349</v>
      </c>
      <c r="Y320" t="s">
        <v>348</v>
      </c>
      <c r="Z320">
        <v>2017</v>
      </c>
      <c r="AB320">
        <v>9</v>
      </c>
      <c r="AC320">
        <v>3.84</v>
      </c>
      <c r="AE320" t="s">
        <v>346</v>
      </c>
      <c r="AF320">
        <v>46.142674</v>
      </c>
      <c r="AG320">
        <v>-115.598088</v>
      </c>
      <c r="AH320">
        <v>14476538</v>
      </c>
    </row>
    <row r="321" spans="2:34">
      <c r="B321" t="s">
        <v>345</v>
      </c>
      <c r="C321" t="s">
        <v>742</v>
      </c>
      <c r="D321" s="3">
        <v>42917.37222222222</v>
      </c>
      <c r="F321">
        <v>2017</v>
      </c>
      <c r="G321" t="s">
        <v>602</v>
      </c>
      <c r="H321" t="s">
        <v>352</v>
      </c>
      <c r="J321">
        <v>0</v>
      </c>
      <c r="L321">
        <v>1</v>
      </c>
      <c r="M321">
        <v>70</v>
      </c>
      <c r="N321">
        <v>4</v>
      </c>
      <c r="O321" t="s">
        <v>353</v>
      </c>
      <c r="R321" t="s">
        <v>608</v>
      </c>
      <c r="U321">
        <v>15</v>
      </c>
      <c r="V321">
        <v>15</v>
      </c>
      <c r="W321" t="s">
        <v>350</v>
      </c>
      <c r="X321" t="s">
        <v>349</v>
      </c>
      <c r="Y321" t="s">
        <v>348</v>
      </c>
      <c r="Z321">
        <v>2017</v>
      </c>
      <c r="AB321">
        <v>9</v>
      </c>
      <c r="AC321">
        <v>3.84</v>
      </c>
      <c r="AE321" t="s">
        <v>346</v>
      </c>
      <c r="AF321">
        <v>46.142674</v>
      </c>
      <c r="AG321">
        <v>-115.598088</v>
      </c>
      <c r="AH321">
        <v>14476539</v>
      </c>
    </row>
    <row r="322" spans="2:34">
      <c r="B322" t="s">
        <v>345</v>
      </c>
      <c r="C322" t="s">
        <v>742</v>
      </c>
      <c r="D322" s="3">
        <v>42917.37222222222</v>
      </c>
      <c r="F322">
        <v>2017</v>
      </c>
      <c r="G322" t="s">
        <v>602</v>
      </c>
      <c r="H322" t="s">
        <v>352</v>
      </c>
      <c r="J322">
        <v>0</v>
      </c>
      <c r="L322">
        <v>1</v>
      </c>
      <c r="M322">
        <v>65</v>
      </c>
      <c r="N322">
        <v>3</v>
      </c>
      <c r="O322" t="s">
        <v>353</v>
      </c>
      <c r="R322" t="s">
        <v>608</v>
      </c>
      <c r="U322">
        <v>15</v>
      </c>
      <c r="V322">
        <v>15</v>
      </c>
      <c r="W322" t="s">
        <v>350</v>
      </c>
      <c r="X322" t="s">
        <v>349</v>
      </c>
      <c r="Y322" t="s">
        <v>348</v>
      </c>
      <c r="Z322">
        <v>2017</v>
      </c>
      <c r="AB322">
        <v>9</v>
      </c>
      <c r="AC322">
        <v>3.84</v>
      </c>
      <c r="AE322" t="s">
        <v>346</v>
      </c>
      <c r="AF322">
        <v>46.142674</v>
      </c>
      <c r="AG322">
        <v>-115.598088</v>
      </c>
      <c r="AH322">
        <v>14476540</v>
      </c>
    </row>
    <row r="323" spans="2:34">
      <c r="B323" t="s">
        <v>345</v>
      </c>
      <c r="C323" t="s">
        <v>742</v>
      </c>
      <c r="D323" s="3">
        <v>42917.37222222222</v>
      </c>
      <c r="F323">
        <v>2017</v>
      </c>
      <c r="G323" t="s">
        <v>605</v>
      </c>
      <c r="H323" t="s">
        <v>352</v>
      </c>
      <c r="J323">
        <v>0</v>
      </c>
      <c r="L323">
        <v>1</v>
      </c>
      <c r="M323">
        <v>101</v>
      </c>
      <c r="N323">
        <v>13</v>
      </c>
      <c r="O323" t="s">
        <v>353</v>
      </c>
      <c r="R323" t="s">
        <v>608</v>
      </c>
      <c r="U323">
        <v>15</v>
      </c>
      <c r="V323">
        <v>15</v>
      </c>
      <c r="W323" t="s">
        <v>350</v>
      </c>
      <c r="X323" t="s">
        <v>349</v>
      </c>
      <c r="Y323" t="s">
        <v>348</v>
      </c>
      <c r="Z323">
        <v>2017</v>
      </c>
      <c r="AB323">
        <v>9</v>
      </c>
      <c r="AC323">
        <v>3.84</v>
      </c>
      <c r="AE323" t="s">
        <v>346</v>
      </c>
      <c r="AF323">
        <v>46.142674</v>
      </c>
      <c r="AG323">
        <v>-115.598088</v>
      </c>
      <c r="AH323">
        <v>14476541</v>
      </c>
    </row>
    <row r="324" spans="2:34">
      <c r="B324" t="s">
        <v>345</v>
      </c>
      <c r="C324" t="s">
        <v>742</v>
      </c>
      <c r="D324" s="3">
        <v>42917.37222222222</v>
      </c>
      <c r="F324">
        <v>2017</v>
      </c>
      <c r="G324" t="s">
        <v>482</v>
      </c>
      <c r="H324" t="s">
        <v>352</v>
      </c>
      <c r="J324">
        <v>0</v>
      </c>
      <c r="L324">
        <v>1</v>
      </c>
      <c r="M324">
        <v>67</v>
      </c>
      <c r="N324">
        <v>5</v>
      </c>
      <c r="O324" t="s">
        <v>353</v>
      </c>
      <c r="R324" t="s">
        <v>608</v>
      </c>
      <c r="U324">
        <v>15</v>
      </c>
      <c r="V324">
        <v>15</v>
      </c>
      <c r="W324" t="s">
        <v>350</v>
      </c>
      <c r="X324" t="s">
        <v>349</v>
      </c>
      <c r="Y324" t="s">
        <v>348</v>
      </c>
      <c r="Z324">
        <v>2017</v>
      </c>
      <c r="AB324">
        <v>9</v>
      </c>
      <c r="AC324">
        <v>3.84</v>
      </c>
      <c r="AE324" t="s">
        <v>346</v>
      </c>
      <c r="AF324">
        <v>46.142674</v>
      </c>
      <c r="AG324">
        <v>-115.598088</v>
      </c>
      <c r="AH324">
        <v>14476542</v>
      </c>
    </row>
    <row r="325" spans="2:34">
      <c r="B325" t="s">
        <v>345</v>
      </c>
      <c r="C325" t="s">
        <v>742</v>
      </c>
      <c r="D325" s="3">
        <v>42917.37222222222</v>
      </c>
      <c r="F325">
        <v>2017</v>
      </c>
      <c r="G325" t="s">
        <v>605</v>
      </c>
      <c r="H325" t="s">
        <v>352</v>
      </c>
      <c r="J325">
        <v>0</v>
      </c>
      <c r="L325">
        <v>1</v>
      </c>
      <c r="M325">
        <v>76</v>
      </c>
      <c r="N325">
        <v>5</v>
      </c>
      <c r="O325" t="s">
        <v>353</v>
      </c>
      <c r="R325" t="s">
        <v>608</v>
      </c>
      <c r="U325">
        <v>15</v>
      </c>
      <c r="V325">
        <v>15</v>
      </c>
      <c r="W325" t="s">
        <v>350</v>
      </c>
      <c r="X325" t="s">
        <v>349</v>
      </c>
      <c r="Y325" t="s">
        <v>348</v>
      </c>
      <c r="Z325">
        <v>2017</v>
      </c>
      <c r="AB325">
        <v>9</v>
      </c>
      <c r="AC325">
        <v>3.84</v>
      </c>
      <c r="AE325" t="s">
        <v>346</v>
      </c>
      <c r="AF325">
        <v>46.142674</v>
      </c>
      <c r="AG325">
        <v>-115.598088</v>
      </c>
      <c r="AH325">
        <v>14476543</v>
      </c>
    </row>
    <row r="326" spans="2:34">
      <c r="B326" t="s">
        <v>345</v>
      </c>
      <c r="C326" t="s">
        <v>742</v>
      </c>
      <c r="D326" s="3">
        <v>42917.37222222222</v>
      </c>
      <c r="F326">
        <v>2017</v>
      </c>
      <c r="G326" t="s">
        <v>605</v>
      </c>
      <c r="H326" t="s">
        <v>352</v>
      </c>
      <c r="J326">
        <v>0</v>
      </c>
      <c r="L326">
        <v>1</v>
      </c>
      <c r="M326">
        <v>110</v>
      </c>
      <c r="N326">
        <v>18</v>
      </c>
      <c r="O326" t="s">
        <v>353</v>
      </c>
      <c r="R326" t="s">
        <v>608</v>
      </c>
      <c r="U326">
        <v>15</v>
      </c>
      <c r="V326">
        <v>15</v>
      </c>
      <c r="W326" t="s">
        <v>350</v>
      </c>
      <c r="X326" t="s">
        <v>349</v>
      </c>
      <c r="Y326" t="s">
        <v>348</v>
      </c>
      <c r="Z326">
        <v>2017</v>
      </c>
      <c r="AB326">
        <v>9</v>
      </c>
      <c r="AC326">
        <v>3.84</v>
      </c>
      <c r="AE326" t="s">
        <v>346</v>
      </c>
      <c r="AF326">
        <v>46.142674</v>
      </c>
      <c r="AG326">
        <v>-115.598088</v>
      </c>
      <c r="AH326">
        <v>14476544</v>
      </c>
    </row>
    <row r="327" spans="2:34">
      <c r="B327" t="s">
        <v>345</v>
      </c>
      <c r="C327" t="s">
        <v>742</v>
      </c>
      <c r="D327" s="3">
        <v>42917.37222222222</v>
      </c>
      <c r="F327">
        <v>2017</v>
      </c>
      <c r="G327" t="s">
        <v>743</v>
      </c>
      <c r="H327" t="s">
        <v>352</v>
      </c>
      <c r="J327">
        <v>0</v>
      </c>
      <c r="L327">
        <v>1</v>
      </c>
      <c r="M327">
        <v>75</v>
      </c>
      <c r="N327">
        <v>5</v>
      </c>
      <c r="O327" t="s">
        <v>353</v>
      </c>
      <c r="R327" t="s">
        <v>608</v>
      </c>
      <c r="U327">
        <v>15</v>
      </c>
      <c r="V327">
        <v>15</v>
      </c>
      <c r="W327" t="s">
        <v>350</v>
      </c>
      <c r="X327" t="s">
        <v>349</v>
      </c>
      <c r="Y327" t="s">
        <v>348</v>
      </c>
      <c r="Z327">
        <v>2017</v>
      </c>
      <c r="AB327">
        <v>9</v>
      </c>
      <c r="AC327">
        <v>3.84</v>
      </c>
      <c r="AE327" t="s">
        <v>346</v>
      </c>
      <c r="AF327">
        <v>46.142674</v>
      </c>
      <c r="AG327">
        <v>-115.598088</v>
      </c>
      <c r="AH327">
        <v>14476545</v>
      </c>
    </row>
    <row r="328" spans="2:34">
      <c r="B328" t="s">
        <v>345</v>
      </c>
      <c r="C328" t="s">
        <v>668</v>
      </c>
      <c r="D328" s="3">
        <v>42860.332638888889</v>
      </c>
      <c r="F328">
        <v>2017</v>
      </c>
      <c r="G328" t="s">
        <v>578</v>
      </c>
      <c r="H328" t="s">
        <v>352</v>
      </c>
      <c r="J328">
        <v>0</v>
      </c>
      <c r="L328">
        <v>1</v>
      </c>
      <c r="M328">
        <v>184</v>
      </c>
      <c r="N328">
        <v>56</v>
      </c>
      <c r="O328" t="s">
        <v>575</v>
      </c>
      <c r="Q328" t="s">
        <v>576</v>
      </c>
      <c r="R328" t="s">
        <v>670</v>
      </c>
      <c r="U328">
        <v>8</v>
      </c>
      <c r="V328">
        <v>8</v>
      </c>
      <c r="W328" t="s">
        <v>350</v>
      </c>
      <c r="X328" t="s">
        <v>349</v>
      </c>
      <c r="Y328" t="s">
        <v>580</v>
      </c>
      <c r="Z328">
        <v>2017</v>
      </c>
      <c r="AB328">
        <v>13</v>
      </c>
      <c r="AC328">
        <v>7.04</v>
      </c>
      <c r="AE328" t="s">
        <v>346</v>
      </c>
      <c r="AF328">
        <v>46.142674</v>
      </c>
      <c r="AG328">
        <v>-115.598088</v>
      </c>
      <c r="AH328">
        <v>14312452</v>
      </c>
    </row>
    <row r="329" spans="2:34">
      <c r="B329" t="s">
        <v>345</v>
      </c>
      <c r="C329" t="s">
        <v>668</v>
      </c>
      <c r="D329" s="3">
        <v>42860.332638888889</v>
      </c>
      <c r="F329">
        <v>2017</v>
      </c>
      <c r="G329" t="s">
        <v>578</v>
      </c>
      <c r="H329" t="s">
        <v>352</v>
      </c>
      <c r="J329">
        <v>0</v>
      </c>
      <c r="L329">
        <v>1</v>
      </c>
      <c r="M329">
        <v>176</v>
      </c>
      <c r="N329">
        <v>53</v>
      </c>
      <c r="O329" t="s">
        <v>575</v>
      </c>
      <c r="Q329" t="s">
        <v>576</v>
      </c>
      <c r="R329" t="s">
        <v>670</v>
      </c>
      <c r="U329">
        <v>8</v>
      </c>
      <c r="V329">
        <v>8</v>
      </c>
      <c r="W329" t="s">
        <v>350</v>
      </c>
      <c r="X329" t="s">
        <v>349</v>
      </c>
      <c r="Y329" t="s">
        <v>580</v>
      </c>
      <c r="Z329">
        <v>2017</v>
      </c>
      <c r="AB329">
        <v>13</v>
      </c>
      <c r="AC329">
        <v>7.04</v>
      </c>
      <c r="AE329" t="s">
        <v>346</v>
      </c>
      <c r="AF329">
        <v>46.142674</v>
      </c>
      <c r="AG329">
        <v>-115.598088</v>
      </c>
      <c r="AH329">
        <v>14312453</v>
      </c>
    </row>
    <row r="330" spans="2:34">
      <c r="B330" t="s">
        <v>345</v>
      </c>
      <c r="C330" t="s">
        <v>668</v>
      </c>
      <c r="D330" s="3">
        <v>42860.332638888889</v>
      </c>
      <c r="F330">
        <v>2017</v>
      </c>
      <c r="G330" t="s">
        <v>578</v>
      </c>
      <c r="H330" t="s">
        <v>352</v>
      </c>
      <c r="J330">
        <v>0</v>
      </c>
      <c r="L330">
        <v>1</v>
      </c>
      <c r="M330">
        <v>171</v>
      </c>
      <c r="N330">
        <v>42</v>
      </c>
      <c r="O330" t="s">
        <v>575</v>
      </c>
      <c r="Q330" t="s">
        <v>576</v>
      </c>
      <c r="R330" t="s">
        <v>670</v>
      </c>
      <c r="U330">
        <v>8</v>
      </c>
      <c r="V330">
        <v>8</v>
      </c>
      <c r="W330" t="s">
        <v>350</v>
      </c>
      <c r="X330" t="s">
        <v>349</v>
      </c>
      <c r="Y330" t="s">
        <v>580</v>
      </c>
      <c r="Z330">
        <v>2017</v>
      </c>
      <c r="AB330">
        <v>13</v>
      </c>
      <c r="AC330">
        <v>7.04</v>
      </c>
      <c r="AE330" t="s">
        <v>346</v>
      </c>
      <c r="AF330">
        <v>46.142674</v>
      </c>
      <c r="AG330">
        <v>-115.598088</v>
      </c>
      <c r="AH330">
        <v>14312454</v>
      </c>
    </row>
    <row r="331" spans="2:34">
      <c r="B331" t="s">
        <v>345</v>
      </c>
      <c r="C331" t="s">
        <v>668</v>
      </c>
      <c r="D331" s="3">
        <v>42860.332638888889</v>
      </c>
      <c r="F331">
        <v>2017</v>
      </c>
      <c r="G331" t="s">
        <v>578</v>
      </c>
      <c r="H331" t="s">
        <v>352</v>
      </c>
      <c r="J331">
        <v>0</v>
      </c>
      <c r="L331">
        <v>1</v>
      </c>
      <c r="M331">
        <v>155</v>
      </c>
      <c r="N331">
        <v>31</v>
      </c>
      <c r="O331" t="s">
        <v>575</v>
      </c>
      <c r="Q331" t="s">
        <v>576</v>
      </c>
      <c r="R331" t="s">
        <v>670</v>
      </c>
      <c r="U331">
        <v>8</v>
      </c>
      <c r="V331">
        <v>8</v>
      </c>
      <c r="W331" t="s">
        <v>350</v>
      </c>
      <c r="X331" t="s">
        <v>349</v>
      </c>
      <c r="Y331" t="s">
        <v>580</v>
      </c>
      <c r="Z331">
        <v>2017</v>
      </c>
      <c r="AB331">
        <v>13</v>
      </c>
      <c r="AC331">
        <v>7.04</v>
      </c>
      <c r="AE331" t="s">
        <v>346</v>
      </c>
      <c r="AF331">
        <v>46.142674</v>
      </c>
      <c r="AG331">
        <v>-115.598088</v>
      </c>
      <c r="AH331">
        <v>14312455</v>
      </c>
    </row>
    <row r="332" spans="2:34">
      <c r="B332" t="s">
        <v>345</v>
      </c>
      <c r="C332" t="s">
        <v>668</v>
      </c>
      <c r="D332" s="3">
        <v>42860.332638888889</v>
      </c>
      <c r="F332">
        <v>2017</v>
      </c>
      <c r="G332" t="s">
        <v>578</v>
      </c>
      <c r="H332" t="s">
        <v>352</v>
      </c>
      <c r="J332">
        <v>0</v>
      </c>
      <c r="L332">
        <v>1</v>
      </c>
      <c r="M332">
        <v>187</v>
      </c>
      <c r="N332">
        <v>62</v>
      </c>
      <c r="O332" t="s">
        <v>575</v>
      </c>
      <c r="Q332" t="s">
        <v>576</v>
      </c>
      <c r="R332" t="s">
        <v>670</v>
      </c>
      <c r="U332">
        <v>8</v>
      </c>
      <c r="V332">
        <v>8</v>
      </c>
      <c r="W332" t="s">
        <v>350</v>
      </c>
      <c r="X332" t="s">
        <v>349</v>
      </c>
      <c r="Y332" t="s">
        <v>580</v>
      </c>
      <c r="Z332">
        <v>2017</v>
      </c>
      <c r="AB332">
        <v>13</v>
      </c>
      <c r="AC332">
        <v>7.04</v>
      </c>
      <c r="AE332" t="s">
        <v>346</v>
      </c>
      <c r="AF332">
        <v>46.142674</v>
      </c>
      <c r="AG332">
        <v>-115.598088</v>
      </c>
      <c r="AH332">
        <v>14312456</v>
      </c>
    </row>
    <row r="333" spans="2:34">
      <c r="B333" t="s">
        <v>345</v>
      </c>
      <c r="C333" t="s">
        <v>668</v>
      </c>
      <c r="D333" s="3">
        <v>42860.332638888889</v>
      </c>
      <c r="F333">
        <v>2017</v>
      </c>
      <c r="G333" t="s">
        <v>578</v>
      </c>
      <c r="H333" t="s">
        <v>352</v>
      </c>
      <c r="J333">
        <v>0</v>
      </c>
      <c r="L333">
        <v>1</v>
      </c>
      <c r="M333">
        <v>185</v>
      </c>
      <c r="N333">
        <v>57</v>
      </c>
      <c r="O333" t="s">
        <v>575</v>
      </c>
      <c r="Q333" t="s">
        <v>576</v>
      </c>
      <c r="R333" t="s">
        <v>670</v>
      </c>
      <c r="U333">
        <v>8</v>
      </c>
      <c r="V333">
        <v>8</v>
      </c>
      <c r="W333" t="s">
        <v>350</v>
      </c>
      <c r="X333" t="s">
        <v>349</v>
      </c>
      <c r="Y333" t="s">
        <v>580</v>
      </c>
      <c r="Z333">
        <v>2017</v>
      </c>
      <c r="AB333">
        <v>13</v>
      </c>
      <c r="AC333">
        <v>7.04</v>
      </c>
      <c r="AE333" t="s">
        <v>346</v>
      </c>
      <c r="AF333">
        <v>46.142674</v>
      </c>
      <c r="AG333">
        <v>-115.598088</v>
      </c>
      <c r="AH333">
        <v>14312457</v>
      </c>
    </row>
    <row r="334" spans="2:34">
      <c r="B334" t="s">
        <v>345</v>
      </c>
      <c r="C334" t="s">
        <v>744</v>
      </c>
      <c r="D334" s="3">
        <v>42829.324999999997</v>
      </c>
      <c r="F334">
        <v>2017</v>
      </c>
      <c r="G334" t="s">
        <v>578</v>
      </c>
      <c r="H334" t="s">
        <v>352</v>
      </c>
      <c r="J334">
        <v>0</v>
      </c>
      <c r="L334">
        <v>1</v>
      </c>
      <c r="M334">
        <v>164</v>
      </c>
      <c r="N334">
        <v>75</v>
      </c>
      <c r="O334" t="s">
        <v>575</v>
      </c>
      <c r="Q334" t="s">
        <v>745</v>
      </c>
      <c r="U334">
        <v>3.5</v>
      </c>
      <c r="V334">
        <v>4</v>
      </c>
      <c r="W334" t="s">
        <v>350</v>
      </c>
      <c r="X334" t="s">
        <v>349</v>
      </c>
      <c r="Y334" t="s">
        <v>580</v>
      </c>
      <c r="Z334">
        <v>2017</v>
      </c>
      <c r="AB334">
        <v>10</v>
      </c>
      <c r="AC334">
        <v>5.59</v>
      </c>
      <c r="AE334" t="s">
        <v>346</v>
      </c>
      <c r="AF334">
        <v>46.142674</v>
      </c>
      <c r="AG334">
        <v>-115.598088</v>
      </c>
      <c r="AH334">
        <v>14404804</v>
      </c>
    </row>
    <row r="335" spans="2:34">
      <c r="B335" t="s">
        <v>345</v>
      </c>
      <c r="C335" t="s">
        <v>744</v>
      </c>
      <c r="D335" s="3">
        <v>42829.324999999997</v>
      </c>
      <c r="F335">
        <v>2017</v>
      </c>
      <c r="G335" t="s">
        <v>574</v>
      </c>
      <c r="H335" t="s">
        <v>352</v>
      </c>
      <c r="J335">
        <v>0</v>
      </c>
      <c r="L335">
        <v>1</v>
      </c>
      <c r="M335">
        <v>75</v>
      </c>
      <c r="N335">
        <v>4</v>
      </c>
      <c r="O335" t="s">
        <v>575</v>
      </c>
      <c r="Q335" t="s">
        <v>576</v>
      </c>
      <c r="U335">
        <v>3.5</v>
      </c>
      <c r="V335">
        <v>4</v>
      </c>
      <c r="W335" t="s">
        <v>350</v>
      </c>
      <c r="X335" t="s">
        <v>349</v>
      </c>
      <c r="Y335" t="s">
        <v>580</v>
      </c>
      <c r="Z335">
        <v>2017</v>
      </c>
      <c r="AB335">
        <v>10</v>
      </c>
      <c r="AC335">
        <v>5.59</v>
      </c>
      <c r="AE335" t="s">
        <v>346</v>
      </c>
      <c r="AF335">
        <v>46.142674</v>
      </c>
      <c r="AG335">
        <v>-115.598088</v>
      </c>
      <c r="AH335">
        <v>14404805</v>
      </c>
    </row>
    <row r="336" spans="2:34">
      <c r="B336" t="s">
        <v>345</v>
      </c>
      <c r="C336" t="s">
        <v>744</v>
      </c>
      <c r="D336" s="3">
        <v>42829.324999999997</v>
      </c>
      <c r="F336">
        <v>2017</v>
      </c>
      <c r="G336" t="s">
        <v>351</v>
      </c>
      <c r="H336" t="s">
        <v>352</v>
      </c>
      <c r="J336">
        <v>0</v>
      </c>
      <c r="L336">
        <v>1</v>
      </c>
      <c r="M336">
        <v>100</v>
      </c>
      <c r="N336">
        <v>2</v>
      </c>
      <c r="O336" t="s">
        <v>353</v>
      </c>
      <c r="U336">
        <v>3.5</v>
      </c>
      <c r="V336">
        <v>4</v>
      </c>
      <c r="W336" t="s">
        <v>350</v>
      </c>
      <c r="X336" t="s">
        <v>349</v>
      </c>
      <c r="Y336" t="s">
        <v>580</v>
      </c>
      <c r="Z336">
        <v>2017</v>
      </c>
      <c r="AB336">
        <v>10</v>
      </c>
      <c r="AC336">
        <v>5.59</v>
      </c>
      <c r="AE336" t="s">
        <v>346</v>
      </c>
      <c r="AF336">
        <v>46.142674</v>
      </c>
      <c r="AG336">
        <v>-115.598088</v>
      </c>
      <c r="AH336">
        <v>14404806</v>
      </c>
    </row>
    <row r="337" spans="2:35">
      <c r="B337" t="s">
        <v>345</v>
      </c>
      <c r="C337" t="s">
        <v>746</v>
      </c>
      <c r="D337" s="3">
        <v>43020.416666666664</v>
      </c>
      <c r="F337">
        <v>2017</v>
      </c>
      <c r="G337" t="s">
        <v>605</v>
      </c>
      <c r="H337" t="s">
        <v>352</v>
      </c>
      <c r="J337">
        <v>0</v>
      </c>
      <c r="L337">
        <v>15</v>
      </c>
      <c r="M337">
        <v>0</v>
      </c>
      <c r="N337">
        <v>0</v>
      </c>
      <c r="O337" t="s">
        <v>606</v>
      </c>
      <c r="R337" t="s">
        <v>747</v>
      </c>
      <c r="U337">
        <v>8</v>
      </c>
      <c r="V337">
        <v>8</v>
      </c>
      <c r="W337" t="s">
        <v>350</v>
      </c>
      <c r="X337" t="s">
        <v>349</v>
      </c>
      <c r="Y337" t="s">
        <v>642</v>
      </c>
      <c r="Z337">
        <v>2017</v>
      </c>
      <c r="AB337">
        <v>7</v>
      </c>
      <c r="AC337">
        <v>2.06</v>
      </c>
      <c r="AE337" t="s">
        <v>346</v>
      </c>
      <c r="AF337">
        <v>46.142674</v>
      </c>
      <c r="AG337">
        <v>-115.598088</v>
      </c>
      <c r="AH337">
        <v>14442169</v>
      </c>
    </row>
    <row r="338" spans="2:35">
      <c r="B338" t="s">
        <v>345</v>
      </c>
      <c r="C338" t="s">
        <v>746</v>
      </c>
      <c r="D338" s="3">
        <v>43020.416666666664</v>
      </c>
      <c r="F338">
        <v>2017</v>
      </c>
      <c r="G338" t="s">
        <v>605</v>
      </c>
      <c r="H338" t="s">
        <v>352</v>
      </c>
      <c r="J338">
        <v>0</v>
      </c>
      <c r="L338">
        <v>1</v>
      </c>
      <c r="M338">
        <v>136</v>
      </c>
      <c r="N338">
        <v>35</v>
      </c>
      <c r="O338" t="s">
        <v>353</v>
      </c>
      <c r="R338" t="s">
        <v>747</v>
      </c>
      <c r="U338">
        <v>8</v>
      </c>
      <c r="V338">
        <v>8</v>
      </c>
      <c r="W338" t="s">
        <v>350</v>
      </c>
      <c r="X338" t="s">
        <v>349</v>
      </c>
      <c r="Y338" t="s">
        <v>642</v>
      </c>
      <c r="Z338">
        <v>2017</v>
      </c>
      <c r="AB338">
        <v>7</v>
      </c>
      <c r="AC338">
        <v>2.06</v>
      </c>
      <c r="AE338" t="s">
        <v>346</v>
      </c>
      <c r="AF338">
        <v>46.142674</v>
      </c>
      <c r="AG338">
        <v>-115.598088</v>
      </c>
      <c r="AH338">
        <v>14442170</v>
      </c>
    </row>
    <row r="339" spans="2:35">
      <c r="B339" t="s">
        <v>345</v>
      </c>
      <c r="C339" t="s">
        <v>746</v>
      </c>
      <c r="D339" s="3">
        <v>43020.416666666664</v>
      </c>
      <c r="F339">
        <v>2017</v>
      </c>
      <c r="G339" t="s">
        <v>605</v>
      </c>
      <c r="H339" t="s">
        <v>352</v>
      </c>
      <c r="J339">
        <v>0</v>
      </c>
      <c r="L339">
        <v>1</v>
      </c>
      <c r="M339">
        <v>101</v>
      </c>
      <c r="N339">
        <v>14</v>
      </c>
      <c r="O339" t="s">
        <v>353</v>
      </c>
      <c r="R339" t="s">
        <v>747</v>
      </c>
      <c r="U339">
        <v>8</v>
      </c>
      <c r="V339">
        <v>8</v>
      </c>
      <c r="W339" t="s">
        <v>350</v>
      </c>
      <c r="X339" t="s">
        <v>349</v>
      </c>
      <c r="Y339" t="s">
        <v>642</v>
      </c>
      <c r="Z339">
        <v>2017</v>
      </c>
      <c r="AB339">
        <v>7</v>
      </c>
      <c r="AC339">
        <v>2.06</v>
      </c>
      <c r="AE339" t="s">
        <v>346</v>
      </c>
      <c r="AF339">
        <v>46.142674</v>
      </c>
      <c r="AG339">
        <v>-115.598088</v>
      </c>
      <c r="AH339">
        <v>14442171</v>
      </c>
    </row>
    <row r="340" spans="2:35">
      <c r="B340" t="s">
        <v>345</v>
      </c>
      <c r="C340" t="s">
        <v>746</v>
      </c>
      <c r="D340" s="3">
        <v>43020.416666666664</v>
      </c>
      <c r="F340">
        <v>2017</v>
      </c>
      <c r="G340" t="s">
        <v>605</v>
      </c>
      <c r="H340" t="s">
        <v>352</v>
      </c>
      <c r="J340">
        <v>0</v>
      </c>
      <c r="L340">
        <v>1</v>
      </c>
      <c r="M340">
        <v>147</v>
      </c>
      <c r="N340">
        <v>38</v>
      </c>
      <c r="O340" t="s">
        <v>353</v>
      </c>
      <c r="R340" t="s">
        <v>747</v>
      </c>
      <c r="U340">
        <v>8</v>
      </c>
      <c r="V340">
        <v>8</v>
      </c>
      <c r="W340" t="s">
        <v>350</v>
      </c>
      <c r="X340" t="s">
        <v>349</v>
      </c>
      <c r="Y340" t="s">
        <v>642</v>
      </c>
      <c r="Z340">
        <v>2017</v>
      </c>
      <c r="AB340">
        <v>7</v>
      </c>
      <c r="AC340">
        <v>2.06</v>
      </c>
      <c r="AE340" t="s">
        <v>346</v>
      </c>
      <c r="AF340">
        <v>46.142674</v>
      </c>
      <c r="AG340">
        <v>-115.598088</v>
      </c>
      <c r="AH340">
        <v>14442172</v>
      </c>
    </row>
    <row r="341" spans="2:35">
      <c r="B341" t="s">
        <v>345</v>
      </c>
      <c r="C341" t="s">
        <v>748</v>
      </c>
      <c r="D341" s="3">
        <v>43015.380555555559</v>
      </c>
      <c r="F341">
        <v>2017</v>
      </c>
      <c r="G341" t="s">
        <v>605</v>
      </c>
      <c r="H341" t="s">
        <v>352</v>
      </c>
      <c r="J341">
        <v>0</v>
      </c>
      <c r="L341">
        <v>3</v>
      </c>
      <c r="M341">
        <v>0</v>
      </c>
      <c r="N341">
        <v>0</v>
      </c>
      <c r="O341" t="s">
        <v>606</v>
      </c>
      <c r="U341">
        <v>9.5</v>
      </c>
      <c r="V341">
        <v>9.5</v>
      </c>
      <c r="W341" t="s">
        <v>350</v>
      </c>
      <c r="X341" t="s">
        <v>349</v>
      </c>
      <c r="Y341" t="s">
        <v>348</v>
      </c>
      <c r="Z341">
        <v>2017</v>
      </c>
      <c r="AB341">
        <v>5</v>
      </c>
      <c r="AC341">
        <v>1.94</v>
      </c>
      <c r="AE341" t="s">
        <v>346</v>
      </c>
      <c r="AF341">
        <v>46.142674</v>
      </c>
      <c r="AG341">
        <v>-115.598088</v>
      </c>
      <c r="AH341">
        <v>14489798</v>
      </c>
    </row>
    <row r="342" spans="2:35">
      <c r="B342" t="s">
        <v>345</v>
      </c>
      <c r="C342" t="s">
        <v>748</v>
      </c>
      <c r="D342" s="3">
        <v>43015.380555555559</v>
      </c>
      <c r="F342">
        <v>2017</v>
      </c>
      <c r="G342" t="s">
        <v>578</v>
      </c>
      <c r="H342" t="s">
        <v>352</v>
      </c>
      <c r="J342">
        <v>0</v>
      </c>
      <c r="L342">
        <v>1</v>
      </c>
      <c r="M342">
        <v>154</v>
      </c>
      <c r="N342">
        <v>34</v>
      </c>
      <c r="O342" t="s">
        <v>575</v>
      </c>
      <c r="Q342" t="s">
        <v>749</v>
      </c>
      <c r="U342">
        <v>9.5</v>
      </c>
      <c r="V342">
        <v>9.5</v>
      </c>
      <c r="W342" t="s">
        <v>350</v>
      </c>
      <c r="X342" t="s">
        <v>349</v>
      </c>
      <c r="Y342" t="s">
        <v>348</v>
      </c>
      <c r="Z342">
        <v>2017</v>
      </c>
      <c r="AB342">
        <v>5</v>
      </c>
      <c r="AC342">
        <v>1.94</v>
      </c>
      <c r="AE342" t="s">
        <v>346</v>
      </c>
      <c r="AF342">
        <v>46.142674</v>
      </c>
      <c r="AG342">
        <v>-115.598088</v>
      </c>
      <c r="AH342">
        <v>14489799</v>
      </c>
      <c r="AI342">
        <f>17-76579</f>
        <v>-76562</v>
      </c>
    </row>
    <row r="343" spans="2:35">
      <c r="B343" t="s">
        <v>345</v>
      </c>
      <c r="C343" t="s">
        <v>750</v>
      </c>
      <c r="D343" s="3">
        <v>42979.277777777781</v>
      </c>
      <c r="F343">
        <v>2017</v>
      </c>
      <c r="G343" t="s">
        <v>605</v>
      </c>
      <c r="H343" t="s">
        <v>352</v>
      </c>
      <c r="J343">
        <v>0</v>
      </c>
      <c r="L343">
        <v>1</v>
      </c>
      <c r="M343">
        <v>0</v>
      </c>
      <c r="N343">
        <v>0</v>
      </c>
      <c r="O343" t="s">
        <v>643</v>
      </c>
      <c r="R343" t="s">
        <v>751</v>
      </c>
      <c r="U343">
        <v>25</v>
      </c>
      <c r="V343">
        <v>25</v>
      </c>
      <c r="W343" t="s">
        <v>350</v>
      </c>
      <c r="X343" t="s">
        <v>349</v>
      </c>
      <c r="Y343" t="s">
        <v>642</v>
      </c>
      <c r="Z343">
        <v>2017</v>
      </c>
      <c r="AB343">
        <v>4</v>
      </c>
      <c r="AC343">
        <v>1.79</v>
      </c>
      <c r="AE343" t="s">
        <v>346</v>
      </c>
      <c r="AF343">
        <v>46.142674</v>
      </c>
      <c r="AG343">
        <v>-115.598088</v>
      </c>
      <c r="AH343">
        <v>14493646</v>
      </c>
    </row>
    <row r="344" spans="2:35">
      <c r="B344" t="s">
        <v>345</v>
      </c>
      <c r="C344" t="s">
        <v>750</v>
      </c>
      <c r="D344" s="3">
        <v>42979.277777777781</v>
      </c>
      <c r="F344">
        <v>2017</v>
      </c>
      <c r="G344" t="s">
        <v>605</v>
      </c>
      <c r="H344" t="s">
        <v>352</v>
      </c>
      <c r="J344">
        <v>0</v>
      </c>
      <c r="L344">
        <v>20</v>
      </c>
      <c r="M344">
        <v>0</v>
      </c>
      <c r="N344">
        <v>0</v>
      </c>
      <c r="O344" t="s">
        <v>606</v>
      </c>
      <c r="R344" t="s">
        <v>751</v>
      </c>
      <c r="U344">
        <v>25</v>
      </c>
      <c r="V344">
        <v>25</v>
      </c>
      <c r="W344" t="s">
        <v>350</v>
      </c>
      <c r="X344" t="s">
        <v>349</v>
      </c>
      <c r="Y344" t="s">
        <v>642</v>
      </c>
      <c r="Z344">
        <v>2017</v>
      </c>
      <c r="AB344">
        <v>4</v>
      </c>
      <c r="AC344">
        <v>1.79</v>
      </c>
      <c r="AE344" t="s">
        <v>346</v>
      </c>
      <c r="AF344">
        <v>46.142674</v>
      </c>
      <c r="AG344">
        <v>-115.598088</v>
      </c>
      <c r="AH344">
        <v>14493647</v>
      </c>
    </row>
    <row r="345" spans="2:35">
      <c r="B345" t="s">
        <v>345</v>
      </c>
      <c r="C345" t="s">
        <v>750</v>
      </c>
      <c r="D345" s="3">
        <v>42979.277777777781</v>
      </c>
      <c r="F345">
        <v>2017</v>
      </c>
      <c r="G345" t="s">
        <v>752</v>
      </c>
      <c r="H345" t="s">
        <v>352</v>
      </c>
      <c r="J345">
        <v>0</v>
      </c>
      <c r="L345">
        <v>2</v>
      </c>
      <c r="M345">
        <v>0</v>
      </c>
      <c r="N345">
        <v>0</v>
      </c>
      <c r="O345" t="s">
        <v>643</v>
      </c>
      <c r="R345" t="s">
        <v>751</v>
      </c>
      <c r="U345">
        <v>25</v>
      </c>
      <c r="V345">
        <v>25</v>
      </c>
      <c r="W345" t="s">
        <v>350</v>
      </c>
      <c r="X345" t="s">
        <v>349</v>
      </c>
      <c r="Y345" t="s">
        <v>642</v>
      </c>
      <c r="Z345">
        <v>2017</v>
      </c>
      <c r="AB345">
        <v>4</v>
      </c>
      <c r="AC345">
        <v>1.79</v>
      </c>
      <c r="AE345" t="s">
        <v>346</v>
      </c>
      <c r="AF345">
        <v>46.142674</v>
      </c>
      <c r="AG345">
        <v>-115.598088</v>
      </c>
      <c r="AH345">
        <v>14493648</v>
      </c>
    </row>
    <row r="346" spans="2:35">
      <c r="B346" t="s">
        <v>345</v>
      </c>
      <c r="C346" t="s">
        <v>622</v>
      </c>
      <c r="D346" s="3">
        <v>42847.304166666669</v>
      </c>
      <c r="F346">
        <v>2017</v>
      </c>
      <c r="G346" t="s">
        <v>574</v>
      </c>
      <c r="H346" t="s">
        <v>352</v>
      </c>
      <c r="J346">
        <v>0</v>
      </c>
      <c r="L346">
        <v>1</v>
      </c>
      <c r="M346">
        <v>86</v>
      </c>
      <c r="N346">
        <v>7</v>
      </c>
      <c r="O346" t="s">
        <v>575</v>
      </c>
      <c r="Q346" t="s">
        <v>576</v>
      </c>
      <c r="R346" t="s">
        <v>624</v>
      </c>
      <c r="U346">
        <v>5</v>
      </c>
      <c r="V346">
        <v>5</v>
      </c>
      <c r="W346" t="s">
        <v>350</v>
      </c>
      <c r="X346" t="s">
        <v>349</v>
      </c>
      <c r="Y346" t="s">
        <v>580</v>
      </c>
      <c r="Z346">
        <v>2017</v>
      </c>
      <c r="AB346">
        <v>13</v>
      </c>
      <c r="AC346">
        <v>5.46</v>
      </c>
      <c r="AE346" t="s">
        <v>346</v>
      </c>
      <c r="AF346">
        <v>46.142674</v>
      </c>
      <c r="AG346">
        <v>-115.598088</v>
      </c>
      <c r="AH346">
        <v>14233097</v>
      </c>
    </row>
    <row r="347" spans="2:35">
      <c r="B347" t="s">
        <v>345</v>
      </c>
      <c r="C347" t="s">
        <v>622</v>
      </c>
      <c r="D347" s="3">
        <v>42847.304166666669</v>
      </c>
      <c r="F347">
        <v>2017</v>
      </c>
      <c r="G347" t="s">
        <v>578</v>
      </c>
      <c r="H347" t="s">
        <v>352</v>
      </c>
      <c r="J347">
        <v>0</v>
      </c>
      <c r="L347">
        <v>1</v>
      </c>
      <c r="M347">
        <v>186</v>
      </c>
      <c r="N347">
        <v>55</v>
      </c>
      <c r="O347" t="s">
        <v>575</v>
      </c>
      <c r="Q347" t="s">
        <v>753</v>
      </c>
      <c r="R347" t="s">
        <v>624</v>
      </c>
      <c r="U347">
        <v>5</v>
      </c>
      <c r="V347">
        <v>5</v>
      </c>
      <c r="W347" t="s">
        <v>350</v>
      </c>
      <c r="X347" t="s">
        <v>349</v>
      </c>
      <c r="Y347" t="s">
        <v>580</v>
      </c>
      <c r="Z347">
        <v>2017</v>
      </c>
      <c r="AB347">
        <v>13</v>
      </c>
      <c r="AC347">
        <v>5.46</v>
      </c>
      <c r="AE347" t="s">
        <v>346</v>
      </c>
      <c r="AF347">
        <v>46.142674</v>
      </c>
      <c r="AG347">
        <v>-115.598088</v>
      </c>
      <c r="AH347">
        <v>14233098</v>
      </c>
    </row>
    <row r="348" spans="2:35">
      <c r="B348" t="s">
        <v>345</v>
      </c>
      <c r="C348" t="s">
        <v>622</v>
      </c>
      <c r="D348" s="3">
        <v>42847.304166666669</v>
      </c>
      <c r="F348">
        <v>2017</v>
      </c>
      <c r="G348" t="s">
        <v>578</v>
      </c>
      <c r="H348" t="s">
        <v>352</v>
      </c>
      <c r="J348">
        <v>0</v>
      </c>
      <c r="L348">
        <v>1</v>
      </c>
      <c r="M348">
        <v>156</v>
      </c>
      <c r="N348">
        <v>42</v>
      </c>
      <c r="O348" t="s">
        <v>575</v>
      </c>
      <c r="Q348" t="s">
        <v>754</v>
      </c>
      <c r="R348" t="s">
        <v>624</v>
      </c>
      <c r="U348">
        <v>5</v>
      </c>
      <c r="V348">
        <v>5</v>
      </c>
      <c r="W348" t="s">
        <v>350</v>
      </c>
      <c r="X348" t="s">
        <v>349</v>
      </c>
      <c r="Y348" t="s">
        <v>580</v>
      </c>
      <c r="Z348">
        <v>2017</v>
      </c>
      <c r="AB348">
        <v>13</v>
      </c>
      <c r="AC348">
        <v>5.46</v>
      </c>
      <c r="AE348" t="s">
        <v>346</v>
      </c>
      <c r="AF348">
        <v>46.142674</v>
      </c>
      <c r="AG348">
        <v>-115.598088</v>
      </c>
      <c r="AH348">
        <v>14233099</v>
      </c>
    </row>
    <row r="349" spans="2:35">
      <c r="B349" t="s">
        <v>345</v>
      </c>
      <c r="C349" t="s">
        <v>622</v>
      </c>
      <c r="D349" s="3">
        <v>42847.304166666669</v>
      </c>
      <c r="F349">
        <v>2017</v>
      </c>
      <c r="G349" t="s">
        <v>578</v>
      </c>
      <c r="H349" t="s">
        <v>352</v>
      </c>
      <c r="J349">
        <v>0</v>
      </c>
      <c r="L349">
        <v>1</v>
      </c>
      <c r="M349">
        <v>190</v>
      </c>
      <c r="N349">
        <v>58</v>
      </c>
      <c r="O349" t="s">
        <v>575</v>
      </c>
      <c r="Q349" t="s">
        <v>755</v>
      </c>
      <c r="R349" t="s">
        <v>624</v>
      </c>
      <c r="U349">
        <v>5</v>
      </c>
      <c r="V349">
        <v>5</v>
      </c>
      <c r="W349" t="s">
        <v>350</v>
      </c>
      <c r="X349" t="s">
        <v>349</v>
      </c>
      <c r="Y349" t="s">
        <v>580</v>
      </c>
      <c r="Z349">
        <v>2017</v>
      </c>
      <c r="AB349">
        <v>13</v>
      </c>
      <c r="AC349">
        <v>5.46</v>
      </c>
      <c r="AE349" t="s">
        <v>346</v>
      </c>
      <c r="AF349">
        <v>46.142674</v>
      </c>
      <c r="AG349">
        <v>-115.598088</v>
      </c>
      <c r="AH349">
        <v>14233100</v>
      </c>
    </row>
    <row r="350" spans="2:35">
      <c r="B350" t="s">
        <v>345</v>
      </c>
      <c r="C350" t="s">
        <v>622</v>
      </c>
      <c r="D350" s="3">
        <v>42847.304166666669</v>
      </c>
      <c r="F350">
        <v>2017</v>
      </c>
      <c r="G350" t="s">
        <v>578</v>
      </c>
      <c r="H350" t="s">
        <v>352</v>
      </c>
      <c r="J350">
        <v>0</v>
      </c>
      <c r="L350">
        <v>1</v>
      </c>
      <c r="M350">
        <v>202</v>
      </c>
      <c r="N350">
        <v>73</v>
      </c>
      <c r="O350" t="s">
        <v>575</v>
      </c>
      <c r="Q350" t="s">
        <v>756</v>
      </c>
      <c r="R350" t="s">
        <v>624</v>
      </c>
      <c r="U350">
        <v>5</v>
      </c>
      <c r="V350">
        <v>5</v>
      </c>
      <c r="W350" t="s">
        <v>350</v>
      </c>
      <c r="X350" t="s">
        <v>349</v>
      </c>
      <c r="Y350" t="s">
        <v>580</v>
      </c>
      <c r="Z350">
        <v>2017</v>
      </c>
      <c r="AB350">
        <v>13</v>
      </c>
      <c r="AC350">
        <v>5.46</v>
      </c>
      <c r="AE350" t="s">
        <v>346</v>
      </c>
      <c r="AF350">
        <v>46.142674</v>
      </c>
      <c r="AG350">
        <v>-115.598088</v>
      </c>
      <c r="AH350">
        <v>14233101</v>
      </c>
    </row>
    <row r="351" spans="2:35">
      <c r="B351" t="s">
        <v>345</v>
      </c>
      <c r="C351" t="s">
        <v>622</v>
      </c>
      <c r="D351" s="3">
        <v>42847.304166666669</v>
      </c>
      <c r="F351">
        <v>2017</v>
      </c>
      <c r="G351" t="s">
        <v>578</v>
      </c>
      <c r="H351" t="s">
        <v>352</v>
      </c>
      <c r="J351">
        <v>0</v>
      </c>
      <c r="L351">
        <v>1</v>
      </c>
      <c r="M351">
        <v>170</v>
      </c>
      <c r="N351">
        <v>43</v>
      </c>
      <c r="O351" t="s">
        <v>575</v>
      </c>
      <c r="Q351" t="s">
        <v>757</v>
      </c>
      <c r="R351" t="s">
        <v>624</v>
      </c>
      <c r="U351">
        <v>5</v>
      </c>
      <c r="V351">
        <v>5</v>
      </c>
      <c r="W351" t="s">
        <v>350</v>
      </c>
      <c r="X351" t="s">
        <v>349</v>
      </c>
      <c r="Y351" t="s">
        <v>580</v>
      </c>
      <c r="Z351">
        <v>2017</v>
      </c>
      <c r="AB351">
        <v>13</v>
      </c>
      <c r="AC351">
        <v>5.46</v>
      </c>
      <c r="AE351" t="s">
        <v>346</v>
      </c>
      <c r="AF351">
        <v>46.142674</v>
      </c>
      <c r="AG351">
        <v>-115.598088</v>
      </c>
      <c r="AH351">
        <v>14233102</v>
      </c>
    </row>
    <row r="352" spans="2:35">
      <c r="B352" t="s">
        <v>345</v>
      </c>
      <c r="C352" t="s">
        <v>622</v>
      </c>
      <c r="D352" s="3">
        <v>42847.304166666669</v>
      </c>
      <c r="F352">
        <v>2017</v>
      </c>
      <c r="G352" t="s">
        <v>578</v>
      </c>
      <c r="H352" t="s">
        <v>352</v>
      </c>
      <c r="J352">
        <v>0</v>
      </c>
      <c r="L352">
        <v>1</v>
      </c>
      <c r="M352">
        <v>187</v>
      </c>
      <c r="N352">
        <v>54</v>
      </c>
      <c r="O352" t="s">
        <v>575</v>
      </c>
      <c r="Q352" t="s">
        <v>758</v>
      </c>
      <c r="R352" t="s">
        <v>624</v>
      </c>
      <c r="U352">
        <v>5</v>
      </c>
      <c r="V352">
        <v>5</v>
      </c>
      <c r="W352" t="s">
        <v>350</v>
      </c>
      <c r="X352" t="s">
        <v>349</v>
      </c>
      <c r="Y352" t="s">
        <v>580</v>
      </c>
      <c r="Z352">
        <v>2017</v>
      </c>
      <c r="AB352">
        <v>13</v>
      </c>
      <c r="AC352">
        <v>5.46</v>
      </c>
      <c r="AE352" t="s">
        <v>346</v>
      </c>
      <c r="AF352">
        <v>46.142674</v>
      </c>
      <c r="AG352">
        <v>-115.598088</v>
      </c>
      <c r="AH352">
        <v>14233103</v>
      </c>
    </row>
    <row r="353" spans="2:35">
      <c r="B353" t="s">
        <v>345</v>
      </c>
      <c r="C353" t="s">
        <v>622</v>
      </c>
      <c r="D353" s="3">
        <v>42847.304166666669</v>
      </c>
      <c r="F353">
        <v>2017</v>
      </c>
      <c r="G353" t="s">
        <v>578</v>
      </c>
      <c r="H353" t="s">
        <v>352</v>
      </c>
      <c r="J353">
        <v>0</v>
      </c>
      <c r="L353">
        <v>1</v>
      </c>
      <c r="M353">
        <v>184</v>
      </c>
      <c r="N353">
        <v>56</v>
      </c>
      <c r="O353" t="s">
        <v>634</v>
      </c>
      <c r="P353" t="s">
        <v>635</v>
      </c>
      <c r="Q353" t="s">
        <v>635</v>
      </c>
      <c r="R353" t="s">
        <v>624</v>
      </c>
      <c r="U353">
        <v>5</v>
      </c>
      <c r="V353">
        <v>5</v>
      </c>
      <c r="W353" t="s">
        <v>350</v>
      </c>
      <c r="X353" t="s">
        <v>349</v>
      </c>
      <c r="Y353" t="s">
        <v>580</v>
      </c>
      <c r="Z353">
        <v>2017</v>
      </c>
      <c r="AB353">
        <v>13</v>
      </c>
      <c r="AC353">
        <v>5.46</v>
      </c>
      <c r="AE353" t="s">
        <v>346</v>
      </c>
      <c r="AF353">
        <v>46.142674</v>
      </c>
      <c r="AG353">
        <v>-115.598088</v>
      </c>
      <c r="AH353">
        <v>14233104</v>
      </c>
    </row>
    <row r="354" spans="2:35">
      <c r="B354" t="s">
        <v>345</v>
      </c>
      <c r="C354" t="s">
        <v>759</v>
      </c>
      <c r="D354" s="3">
        <v>42924.299305555556</v>
      </c>
      <c r="F354">
        <v>2017</v>
      </c>
      <c r="G354" t="s">
        <v>611</v>
      </c>
      <c r="H354" t="s">
        <v>352</v>
      </c>
      <c r="J354">
        <v>0</v>
      </c>
      <c r="L354">
        <v>6</v>
      </c>
      <c r="M354">
        <v>0</v>
      </c>
      <c r="N354">
        <v>0</v>
      </c>
      <c r="O354" t="s">
        <v>643</v>
      </c>
      <c r="U354">
        <v>25</v>
      </c>
      <c r="V354">
        <v>19</v>
      </c>
      <c r="W354" t="s">
        <v>350</v>
      </c>
      <c r="X354" t="s">
        <v>349</v>
      </c>
      <c r="Y354" t="s">
        <v>642</v>
      </c>
      <c r="Z354">
        <v>2017</v>
      </c>
      <c r="AB354">
        <v>10</v>
      </c>
      <c r="AC354">
        <v>3.23</v>
      </c>
      <c r="AE354" t="s">
        <v>346</v>
      </c>
      <c r="AF354">
        <v>46.142674</v>
      </c>
      <c r="AG354">
        <v>-115.598088</v>
      </c>
      <c r="AH354">
        <v>14339109</v>
      </c>
    </row>
    <row r="355" spans="2:35">
      <c r="B355" t="s">
        <v>345</v>
      </c>
      <c r="C355" t="s">
        <v>759</v>
      </c>
      <c r="D355" s="3">
        <v>42924.299305555556</v>
      </c>
      <c r="F355">
        <v>2017</v>
      </c>
      <c r="G355" t="s">
        <v>743</v>
      </c>
      <c r="H355" t="s">
        <v>352</v>
      </c>
      <c r="J355">
        <v>0</v>
      </c>
      <c r="L355">
        <v>4</v>
      </c>
      <c r="M355">
        <v>0</v>
      </c>
      <c r="N355">
        <v>0</v>
      </c>
      <c r="O355" t="s">
        <v>643</v>
      </c>
      <c r="U355">
        <v>25</v>
      </c>
      <c r="V355">
        <v>19</v>
      </c>
      <c r="W355" t="s">
        <v>350</v>
      </c>
      <c r="X355" t="s">
        <v>349</v>
      </c>
      <c r="Y355" t="s">
        <v>642</v>
      </c>
      <c r="Z355">
        <v>2017</v>
      </c>
      <c r="AB355">
        <v>10</v>
      </c>
      <c r="AC355">
        <v>3.23</v>
      </c>
      <c r="AE355" t="s">
        <v>346</v>
      </c>
      <c r="AF355">
        <v>46.142674</v>
      </c>
      <c r="AG355">
        <v>-115.598088</v>
      </c>
      <c r="AH355">
        <v>14339110</v>
      </c>
    </row>
    <row r="356" spans="2:35">
      <c r="B356" t="s">
        <v>345</v>
      </c>
      <c r="C356" t="s">
        <v>759</v>
      </c>
      <c r="D356" s="3">
        <v>42924.299305555556</v>
      </c>
      <c r="F356">
        <v>2017</v>
      </c>
      <c r="G356" t="s">
        <v>605</v>
      </c>
      <c r="H356" t="s">
        <v>352</v>
      </c>
      <c r="J356">
        <v>0</v>
      </c>
      <c r="L356">
        <v>1</v>
      </c>
      <c r="M356">
        <v>0</v>
      </c>
      <c r="N356">
        <v>0</v>
      </c>
      <c r="O356" t="s">
        <v>643</v>
      </c>
      <c r="U356">
        <v>25</v>
      </c>
      <c r="V356">
        <v>19</v>
      </c>
      <c r="W356" t="s">
        <v>350</v>
      </c>
      <c r="X356" t="s">
        <v>349</v>
      </c>
      <c r="Y356" t="s">
        <v>642</v>
      </c>
      <c r="Z356">
        <v>2017</v>
      </c>
      <c r="AB356">
        <v>10</v>
      </c>
      <c r="AC356">
        <v>3.23</v>
      </c>
      <c r="AE356" t="s">
        <v>346</v>
      </c>
      <c r="AF356">
        <v>46.142674</v>
      </c>
      <c r="AG356">
        <v>-115.598088</v>
      </c>
      <c r="AH356">
        <v>14339111</v>
      </c>
    </row>
    <row r="357" spans="2:35">
      <c r="B357" t="s">
        <v>345</v>
      </c>
      <c r="C357" t="s">
        <v>760</v>
      </c>
      <c r="D357" s="3">
        <v>42841.285416666666</v>
      </c>
      <c r="F357">
        <v>2017</v>
      </c>
      <c r="G357" t="s">
        <v>574</v>
      </c>
      <c r="H357" t="s">
        <v>352</v>
      </c>
      <c r="J357">
        <v>0</v>
      </c>
      <c r="L357">
        <v>1</v>
      </c>
      <c r="M357">
        <v>95</v>
      </c>
      <c r="N357">
        <v>9</v>
      </c>
      <c r="O357" t="s">
        <v>575</v>
      </c>
      <c r="Q357" t="s">
        <v>576</v>
      </c>
      <c r="R357" t="s">
        <v>608</v>
      </c>
      <c r="U357">
        <v>4.5</v>
      </c>
      <c r="V357">
        <v>4.5</v>
      </c>
      <c r="W357" t="s">
        <v>350</v>
      </c>
      <c r="X357" t="s">
        <v>349</v>
      </c>
      <c r="Y357" t="s">
        <v>348</v>
      </c>
      <c r="Z357">
        <v>2017</v>
      </c>
      <c r="AB357">
        <v>12</v>
      </c>
      <c r="AC357">
        <v>5.15</v>
      </c>
      <c r="AE357" t="s">
        <v>346</v>
      </c>
      <c r="AF357">
        <v>46.142674</v>
      </c>
      <c r="AG357">
        <v>-115.598088</v>
      </c>
      <c r="AH357">
        <v>14551805</v>
      </c>
    </row>
    <row r="358" spans="2:35">
      <c r="B358" t="s">
        <v>345</v>
      </c>
      <c r="C358" t="s">
        <v>760</v>
      </c>
      <c r="D358" s="3">
        <v>42841.285416666666</v>
      </c>
      <c r="F358">
        <v>2017</v>
      </c>
      <c r="G358" t="s">
        <v>578</v>
      </c>
      <c r="H358" t="s">
        <v>352</v>
      </c>
      <c r="J358">
        <v>0</v>
      </c>
      <c r="L358">
        <v>1</v>
      </c>
      <c r="M358">
        <v>156</v>
      </c>
      <c r="N358">
        <v>32</v>
      </c>
      <c r="O358" t="s">
        <v>575</v>
      </c>
      <c r="Q358" t="s">
        <v>761</v>
      </c>
      <c r="R358" t="s">
        <v>608</v>
      </c>
      <c r="U358">
        <v>4.5</v>
      </c>
      <c r="V358">
        <v>4.5</v>
      </c>
      <c r="W358" t="s">
        <v>350</v>
      </c>
      <c r="X358" t="s">
        <v>349</v>
      </c>
      <c r="Y358" t="s">
        <v>348</v>
      </c>
      <c r="Z358">
        <v>2017</v>
      </c>
      <c r="AB358">
        <v>12</v>
      </c>
      <c r="AC358">
        <v>5.15</v>
      </c>
      <c r="AE358" t="s">
        <v>346</v>
      </c>
      <c r="AF358">
        <v>46.142674</v>
      </c>
      <c r="AG358">
        <v>-115.598088</v>
      </c>
      <c r="AH358">
        <v>14551806</v>
      </c>
      <c r="AI358">
        <f>17-68073</f>
        <v>-68056</v>
      </c>
    </row>
    <row r="359" spans="2:35">
      <c r="B359" t="s">
        <v>345</v>
      </c>
      <c r="C359" t="s">
        <v>760</v>
      </c>
      <c r="D359" s="3">
        <v>42841.285416666666</v>
      </c>
      <c r="F359">
        <v>2017</v>
      </c>
      <c r="G359" t="s">
        <v>578</v>
      </c>
      <c r="H359" t="s">
        <v>352</v>
      </c>
      <c r="J359">
        <v>0</v>
      </c>
      <c r="L359">
        <v>1</v>
      </c>
      <c r="M359">
        <v>188</v>
      </c>
      <c r="N359">
        <v>56</v>
      </c>
      <c r="O359" t="s">
        <v>575</v>
      </c>
      <c r="Q359" t="s">
        <v>762</v>
      </c>
      <c r="R359" t="s">
        <v>608</v>
      </c>
      <c r="U359">
        <v>4.5</v>
      </c>
      <c r="V359">
        <v>4.5</v>
      </c>
      <c r="W359" t="s">
        <v>350</v>
      </c>
      <c r="X359" t="s">
        <v>349</v>
      </c>
      <c r="Y359" t="s">
        <v>348</v>
      </c>
      <c r="Z359">
        <v>2017</v>
      </c>
      <c r="AB359">
        <v>12</v>
      </c>
      <c r="AC359">
        <v>5.15</v>
      </c>
      <c r="AE359" t="s">
        <v>346</v>
      </c>
      <c r="AF359">
        <v>46.142674</v>
      </c>
      <c r="AG359">
        <v>-115.598088</v>
      </c>
      <c r="AH359">
        <v>14551807</v>
      </c>
      <c r="AI359">
        <f>17-68072</f>
        <v>-68055</v>
      </c>
    </row>
    <row r="360" spans="2:35">
      <c r="B360" t="s">
        <v>345</v>
      </c>
      <c r="C360" t="s">
        <v>760</v>
      </c>
      <c r="D360" s="3">
        <v>42841.285416666666</v>
      </c>
      <c r="F360">
        <v>2017</v>
      </c>
      <c r="G360" t="s">
        <v>578</v>
      </c>
      <c r="H360" t="s">
        <v>352</v>
      </c>
      <c r="J360">
        <v>0</v>
      </c>
      <c r="L360">
        <v>1</v>
      </c>
      <c r="M360">
        <v>175</v>
      </c>
      <c r="N360">
        <v>42</v>
      </c>
      <c r="O360" t="s">
        <v>575</v>
      </c>
      <c r="Q360" t="s">
        <v>763</v>
      </c>
      <c r="R360" t="s">
        <v>608</v>
      </c>
      <c r="U360">
        <v>4.5</v>
      </c>
      <c r="V360">
        <v>4.5</v>
      </c>
      <c r="W360" t="s">
        <v>350</v>
      </c>
      <c r="X360" t="s">
        <v>349</v>
      </c>
      <c r="Y360" t="s">
        <v>348</v>
      </c>
      <c r="Z360">
        <v>2017</v>
      </c>
      <c r="AB360">
        <v>12</v>
      </c>
      <c r="AC360">
        <v>5.15</v>
      </c>
      <c r="AE360" t="s">
        <v>346</v>
      </c>
      <c r="AF360">
        <v>46.142674</v>
      </c>
      <c r="AG360">
        <v>-115.598088</v>
      </c>
      <c r="AH360">
        <v>14551808</v>
      </c>
      <c r="AI360">
        <f>17-68070</f>
        <v>-68053</v>
      </c>
    </row>
    <row r="361" spans="2:35">
      <c r="B361" t="s">
        <v>345</v>
      </c>
      <c r="C361" t="s">
        <v>760</v>
      </c>
      <c r="D361" s="3">
        <v>42841.285416666666</v>
      </c>
      <c r="F361">
        <v>2017</v>
      </c>
      <c r="G361" t="s">
        <v>578</v>
      </c>
      <c r="H361" t="s">
        <v>352</v>
      </c>
      <c r="J361">
        <v>0</v>
      </c>
      <c r="L361">
        <v>1</v>
      </c>
      <c r="M361">
        <v>147</v>
      </c>
      <c r="N361">
        <v>28</v>
      </c>
      <c r="O361" t="s">
        <v>575</v>
      </c>
      <c r="Q361" t="s">
        <v>764</v>
      </c>
      <c r="R361" t="s">
        <v>608</v>
      </c>
      <c r="U361">
        <v>4.5</v>
      </c>
      <c r="V361">
        <v>4.5</v>
      </c>
      <c r="W361" t="s">
        <v>350</v>
      </c>
      <c r="X361" t="s">
        <v>349</v>
      </c>
      <c r="Y361" t="s">
        <v>348</v>
      </c>
      <c r="Z361">
        <v>2017</v>
      </c>
      <c r="AB361">
        <v>12</v>
      </c>
      <c r="AC361">
        <v>5.15</v>
      </c>
      <c r="AE361" t="s">
        <v>346</v>
      </c>
      <c r="AF361">
        <v>46.142674</v>
      </c>
      <c r="AG361">
        <v>-115.598088</v>
      </c>
      <c r="AH361">
        <v>14551809</v>
      </c>
      <c r="AI361">
        <f>17-68069</f>
        <v>-68052</v>
      </c>
    </row>
    <row r="362" spans="2:35">
      <c r="B362" t="s">
        <v>345</v>
      </c>
      <c r="C362" t="s">
        <v>760</v>
      </c>
      <c r="D362" s="3">
        <v>42841.285416666666</v>
      </c>
      <c r="F362">
        <v>2017</v>
      </c>
      <c r="G362" t="s">
        <v>578</v>
      </c>
      <c r="H362" t="s">
        <v>352</v>
      </c>
      <c r="J362">
        <v>0</v>
      </c>
      <c r="L362">
        <v>1</v>
      </c>
      <c r="M362">
        <v>171</v>
      </c>
      <c r="N362">
        <v>39</v>
      </c>
      <c r="O362" t="s">
        <v>575</v>
      </c>
      <c r="Q362" t="s">
        <v>765</v>
      </c>
      <c r="R362" t="s">
        <v>608</v>
      </c>
      <c r="U362">
        <v>4.5</v>
      </c>
      <c r="V362">
        <v>4.5</v>
      </c>
      <c r="W362" t="s">
        <v>350</v>
      </c>
      <c r="X362" t="s">
        <v>349</v>
      </c>
      <c r="Y362" t="s">
        <v>348</v>
      </c>
      <c r="Z362">
        <v>2017</v>
      </c>
      <c r="AB362">
        <v>12</v>
      </c>
      <c r="AC362">
        <v>5.15</v>
      </c>
      <c r="AE362" t="s">
        <v>346</v>
      </c>
      <c r="AF362">
        <v>46.142674</v>
      </c>
      <c r="AG362">
        <v>-115.598088</v>
      </c>
      <c r="AH362">
        <v>14551810</v>
      </c>
      <c r="AI362">
        <f>17-68071</f>
        <v>-68054</v>
      </c>
    </row>
    <row r="363" spans="2:35">
      <c r="B363" t="s">
        <v>345</v>
      </c>
      <c r="C363" t="s">
        <v>760</v>
      </c>
      <c r="D363" s="3">
        <v>42841.285416666666</v>
      </c>
      <c r="F363">
        <v>2017</v>
      </c>
      <c r="G363" t="s">
        <v>578</v>
      </c>
      <c r="H363" t="s">
        <v>352</v>
      </c>
      <c r="J363">
        <v>0</v>
      </c>
      <c r="L363">
        <v>1</v>
      </c>
      <c r="M363">
        <v>165</v>
      </c>
      <c r="N363">
        <v>38</v>
      </c>
      <c r="O363" t="s">
        <v>575</v>
      </c>
      <c r="Q363" t="s">
        <v>766</v>
      </c>
      <c r="R363" t="s">
        <v>608</v>
      </c>
      <c r="U363">
        <v>4.5</v>
      </c>
      <c r="V363">
        <v>4.5</v>
      </c>
      <c r="W363" t="s">
        <v>350</v>
      </c>
      <c r="X363" t="s">
        <v>349</v>
      </c>
      <c r="Y363" t="s">
        <v>348</v>
      </c>
      <c r="Z363">
        <v>2017</v>
      </c>
      <c r="AB363">
        <v>12</v>
      </c>
      <c r="AC363">
        <v>5.15</v>
      </c>
      <c r="AE363" t="s">
        <v>346</v>
      </c>
      <c r="AF363">
        <v>46.142674</v>
      </c>
      <c r="AG363">
        <v>-115.598088</v>
      </c>
      <c r="AH363">
        <v>14551811</v>
      </c>
      <c r="AI363">
        <f>17-68066</f>
        <v>-68049</v>
      </c>
    </row>
    <row r="364" spans="2:35">
      <c r="B364" t="s">
        <v>345</v>
      </c>
      <c r="C364" t="s">
        <v>760</v>
      </c>
      <c r="D364" s="3">
        <v>42841.285416666666</v>
      </c>
      <c r="F364">
        <v>2017</v>
      </c>
      <c r="G364" t="s">
        <v>578</v>
      </c>
      <c r="H364" t="s">
        <v>352</v>
      </c>
      <c r="J364">
        <v>0</v>
      </c>
      <c r="L364">
        <v>1</v>
      </c>
      <c r="M364">
        <v>172</v>
      </c>
      <c r="N364">
        <v>45</v>
      </c>
      <c r="O364" t="s">
        <v>575</v>
      </c>
      <c r="Q364" t="s">
        <v>767</v>
      </c>
      <c r="R364" t="s">
        <v>608</v>
      </c>
      <c r="U364">
        <v>4.5</v>
      </c>
      <c r="V364">
        <v>4.5</v>
      </c>
      <c r="W364" t="s">
        <v>350</v>
      </c>
      <c r="X364" t="s">
        <v>349</v>
      </c>
      <c r="Y364" t="s">
        <v>348</v>
      </c>
      <c r="Z364">
        <v>2017</v>
      </c>
      <c r="AB364">
        <v>12</v>
      </c>
      <c r="AC364">
        <v>5.15</v>
      </c>
      <c r="AE364" t="s">
        <v>346</v>
      </c>
      <c r="AF364">
        <v>46.142674</v>
      </c>
      <c r="AG364">
        <v>-115.598088</v>
      </c>
      <c r="AH364">
        <v>14551812</v>
      </c>
      <c r="AI364">
        <f>17-68067</f>
        <v>-68050</v>
      </c>
    </row>
    <row r="365" spans="2:35">
      <c r="B365" t="s">
        <v>345</v>
      </c>
      <c r="C365" t="s">
        <v>760</v>
      </c>
      <c r="D365" s="3">
        <v>42841.285416666666</v>
      </c>
      <c r="F365">
        <v>2017</v>
      </c>
      <c r="G365" t="s">
        <v>578</v>
      </c>
      <c r="H365" t="s">
        <v>352</v>
      </c>
      <c r="J365">
        <v>0</v>
      </c>
      <c r="L365">
        <v>1</v>
      </c>
      <c r="M365">
        <v>168</v>
      </c>
      <c r="N365">
        <v>45</v>
      </c>
      <c r="O365" t="s">
        <v>575</v>
      </c>
      <c r="Q365" t="s">
        <v>768</v>
      </c>
      <c r="R365" t="s">
        <v>608</v>
      </c>
      <c r="U365">
        <v>4.5</v>
      </c>
      <c r="V365">
        <v>4.5</v>
      </c>
      <c r="W365" t="s">
        <v>350</v>
      </c>
      <c r="X365" t="s">
        <v>349</v>
      </c>
      <c r="Y365" t="s">
        <v>348</v>
      </c>
      <c r="Z365">
        <v>2017</v>
      </c>
      <c r="AB365">
        <v>12</v>
      </c>
      <c r="AC365">
        <v>5.15</v>
      </c>
      <c r="AE365" t="s">
        <v>346</v>
      </c>
      <c r="AF365">
        <v>46.142674</v>
      </c>
      <c r="AG365">
        <v>-115.598088</v>
      </c>
      <c r="AH365">
        <v>14551813</v>
      </c>
      <c r="AI365">
        <f>17-68068</f>
        <v>-68051</v>
      </c>
    </row>
    <row r="366" spans="2:35">
      <c r="B366" t="s">
        <v>345</v>
      </c>
      <c r="C366" t="s">
        <v>760</v>
      </c>
      <c r="D366" s="3">
        <v>42841.285416666666</v>
      </c>
      <c r="F366">
        <v>2017</v>
      </c>
      <c r="G366" t="s">
        <v>578</v>
      </c>
      <c r="H366" t="s">
        <v>352</v>
      </c>
      <c r="J366">
        <v>0</v>
      </c>
      <c r="L366">
        <v>1</v>
      </c>
      <c r="M366">
        <v>156</v>
      </c>
      <c r="N366">
        <v>36</v>
      </c>
      <c r="O366" t="s">
        <v>575</v>
      </c>
      <c r="Q366" t="s">
        <v>769</v>
      </c>
      <c r="R366" t="s">
        <v>608</v>
      </c>
      <c r="U366">
        <v>4.5</v>
      </c>
      <c r="V366">
        <v>4.5</v>
      </c>
      <c r="W366" t="s">
        <v>350</v>
      </c>
      <c r="X366" t="s">
        <v>349</v>
      </c>
      <c r="Y366" t="s">
        <v>348</v>
      </c>
      <c r="Z366">
        <v>2017</v>
      </c>
      <c r="AB366">
        <v>12</v>
      </c>
      <c r="AC366">
        <v>5.15</v>
      </c>
      <c r="AE366" t="s">
        <v>346</v>
      </c>
      <c r="AF366">
        <v>46.142674</v>
      </c>
      <c r="AG366">
        <v>-115.598088</v>
      </c>
      <c r="AH366">
        <v>14551814</v>
      </c>
      <c r="AI366">
        <f>17-68065</f>
        <v>-68048</v>
      </c>
    </row>
    <row r="367" spans="2:35">
      <c r="B367" t="s">
        <v>345</v>
      </c>
      <c r="C367" t="s">
        <v>770</v>
      </c>
      <c r="D367" s="3">
        <v>42997.588888888888</v>
      </c>
      <c r="F367">
        <v>2017</v>
      </c>
      <c r="G367" t="s">
        <v>480</v>
      </c>
      <c r="H367" t="s">
        <v>352</v>
      </c>
      <c r="J367">
        <v>0</v>
      </c>
      <c r="L367">
        <v>1</v>
      </c>
      <c r="M367">
        <v>339</v>
      </c>
      <c r="N367">
        <v>0</v>
      </c>
      <c r="O367" t="s">
        <v>353</v>
      </c>
      <c r="R367" t="s">
        <v>771</v>
      </c>
      <c r="U367">
        <v>13</v>
      </c>
      <c r="V367">
        <v>13</v>
      </c>
      <c r="W367" t="s">
        <v>350</v>
      </c>
      <c r="X367" t="s">
        <v>349</v>
      </c>
      <c r="Y367" t="s">
        <v>642</v>
      </c>
      <c r="Z367">
        <v>2017</v>
      </c>
      <c r="AB367">
        <v>7</v>
      </c>
      <c r="AC367">
        <v>1.97</v>
      </c>
      <c r="AE367" t="s">
        <v>346</v>
      </c>
      <c r="AF367">
        <v>46.142674</v>
      </c>
      <c r="AG367">
        <v>-115.598088</v>
      </c>
      <c r="AH367">
        <v>14555182</v>
      </c>
    </row>
    <row r="368" spans="2:35">
      <c r="B368" t="s">
        <v>345</v>
      </c>
      <c r="C368" t="s">
        <v>770</v>
      </c>
      <c r="D368" s="3">
        <v>42997.588888888888</v>
      </c>
      <c r="F368">
        <v>2017</v>
      </c>
      <c r="G368" t="s">
        <v>574</v>
      </c>
      <c r="H368" t="s">
        <v>352</v>
      </c>
      <c r="J368">
        <v>0</v>
      </c>
      <c r="L368">
        <v>1</v>
      </c>
      <c r="M368">
        <v>97</v>
      </c>
      <c r="N368">
        <v>10</v>
      </c>
      <c r="O368" t="s">
        <v>575</v>
      </c>
      <c r="Q368" t="s">
        <v>576</v>
      </c>
      <c r="R368" t="s">
        <v>771</v>
      </c>
      <c r="U368">
        <v>13</v>
      </c>
      <c r="V368">
        <v>13</v>
      </c>
      <c r="W368" t="s">
        <v>350</v>
      </c>
      <c r="X368" t="s">
        <v>349</v>
      </c>
      <c r="Y368" t="s">
        <v>642</v>
      </c>
      <c r="Z368">
        <v>2017</v>
      </c>
      <c r="AB368">
        <v>7</v>
      </c>
      <c r="AC368">
        <v>1.97</v>
      </c>
      <c r="AE368" t="s">
        <v>346</v>
      </c>
      <c r="AF368">
        <v>46.142674</v>
      </c>
      <c r="AG368">
        <v>-115.598088</v>
      </c>
      <c r="AH368">
        <v>14555183</v>
      </c>
    </row>
    <row r="369" spans="2:34">
      <c r="B369" t="s">
        <v>345</v>
      </c>
      <c r="C369" t="s">
        <v>770</v>
      </c>
      <c r="D369" s="3">
        <v>42997.588888888888</v>
      </c>
      <c r="F369">
        <v>2017</v>
      </c>
      <c r="G369" t="s">
        <v>604</v>
      </c>
      <c r="H369" t="s">
        <v>352</v>
      </c>
      <c r="J369">
        <v>0</v>
      </c>
      <c r="L369">
        <v>1</v>
      </c>
      <c r="M369">
        <v>470</v>
      </c>
      <c r="N369">
        <v>0</v>
      </c>
      <c r="O369" t="s">
        <v>353</v>
      </c>
      <c r="R369" t="s">
        <v>771</v>
      </c>
      <c r="U369">
        <v>13</v>
      </c>
      <c r="V369">
        <v>13</v>
      </c>
      <c r="W369" t="s">
        <v>350</v>
      </c>
      <c r="X369" t="s">
        <v>349</v>
      </c>
      <c r="Y369" t="s">
        <v>642</v>
      </c>
      <c r="Z369">
        <v>2017</v>
      </c>
      <c r="AB369">
        <v>7</v>
      </c>
      <c r="AC369">
        <v>1.97</v>
      </c>
      <c r="AE369" t="s">
        <v>346</v>
      </c>
      <c r="AF369">
        <v>46.142674</v>
      </c>
      <c r="AG369">
        <v>-115.598088</v>
      </c>
      <c r="AH369">
        <v>14555184</v>
      </c>
    </row>
    <row r="370" spans="2:34">
      <c r="B370" t="s">
        <v>345</v>
      </c>
      <c r="C370" t="s">
        <v>770</v>
      </c>
      <c r="D370" s="3">
        <v>42997.588888888888</v>
      </c>
      <c r="F370">
        <v>2017</v>
      </c>
      <c r="G370" t="s">
        <v>482</v>
      </c>
      <c r="H370" t="s">
        <v>352</v>
      </c>
      <c r="J370">
        <v>0</v>
      </c>
      <c r="L370">
        <v>1</v>
      </c>
      <c r="M370">
        <v>170</v>
      </c>
      <c r="N370">
        <v>54</v>
      </c>
      <c r="O370" t="s">
        <v>353</v>
      </c>
      <c r="R370" t="s">
        <v>771</v>
      </c>
      <c r="U370">
        <v>13</v>
      </c>
      <c r="V370">
        <v>13</v>
      </c>
      <c r="W370" t="s">
        <v>350</v>
      </c>
      <c r="X370" t="s">
        <v>349</v>
      </c>
      <c r="Y370" t="s">
        <v>642</v>
      </c>
      <c r="Z370">
        <v>2017</v>
      </c>
      <c r="AB370">
        <v>7</v>
      </c>
      <c r="AC370">
        <v>1.97</v>
      </c>
      <c r="AE370" t="s">
        <v>346</v>
      </c>
      <c r="AF370">
        <v>46.142674</v>
      </c>
      <c r="AG370">
        <v>-115.598088</v>
      </c>
      <c r="AH370">
        <v>14555185</v>
      </c>
    </row>
    <row r="371" spans="2:34">
      <c r="B371" t="s">
        <v>345</v>
      </c>
      <c r="C371" t="s">
        <v>770</v>
      </c>
      <c r="D371" s="3">
        <v>42997.588888888888</v>
      </c>
      <c r="F371">
        <v>2017</v>
      </c>
      <c r="G371" t="s">
        <v>578</v>
      </c>
      <c r="H371" t="s">
        <v>352</v>
      </c>
      <c r="J371">
        <v>0</v>
      </c>
      <c r="L371">
        <v>1</v>
      </c>
      <c r="M371">
        <v>127</v>
      </c>
      <c r="N371">
        <v>23</v>
      </c>
      <c r="O371" t="s">
        <v>575</v>
      </c>
      <c r="Q371" t="s">
        <v>576</v>
      </c>
      <c r="R371" t="s">
        <v>771</v>
      </c>
      <c r="U371">
        <v>13</v>
      </c>
      <c r="V371">
        <v>13</v>
      </c>
      <c r="W371" t="s">
        <v>350</v>
      </c>
      <c r="X371" t="s">
        <v>349</v>
      </c>
      <c r="Y371" t="s">
        <v>642</v>
      </c>
      <c r="Z371">
        <v>2017</v>
      </c>
      <c r="AB371">
        <v>7</v>
      </c>
      <c r="AC371">
        <v>1.97</v>
      </c>
      <c r="AE371" t="s">
        <v>346</v>
      </c>
      <c r="AF371">
        <v>46.142674</v>
      </c>
      <c r="AG371">
        <v>-115.598088</v>
      </c>
      <c r="AH371">
        <v>14555186</v>
      </c>
    </row>
    <row r="372" spans="2:34">
      <c r="B372" t="s">
        <v>345</v>
      </c>
      <c r="C372" t="s">
        <v>770</v>
      </c>
      <c r="D372" s="3">
        <v>42997.588888888888</v>
      </c>
      <c r="F372">
        <v>2017</v>
      </c>
      <c r="G372" t="s">
        <v>605</v>
      </c>
      <c r="H372" t="s">
        <v>352</v>
      </c>
      <c r="J372">
        <v>0</v>
      </c>
      <c r="L372">
        <v>24</v>
      </c>
      <c r="M372">
        <v>0</v>
      </c>
      <c r="N372">
        <v>0</v>
      </c>
      <c r="O372" t="s">
        <v>606</v>
      </c>
      <c r="R372" t="s">
        <v>771</v>
      </c>
      <c r="U372">
        <v>13</v>
      </c>
      <c r="V372">
        <v>13</v>
      </c>
      <c r="W372" t="s">
        <v>350</v>
      </c>
      <c r="X372" t="s">
        <v>349</v>
      </c>
      <c r="Y372" t="s">
        <v>642</v>
      </c>
      <c r="Z372">
        <v>2017</v>
      </c>
      <c r="AB372">
        <v>7</v>
      </c>
      <c r="AC372">
        <v>1.97</v>
      </c>
      <c r="AE372" t="s">
        <v>346</v>
      </c>
      <c r="AF372">
        <v>46.142674</v>
      </c>
      <c r="AG372">
        <v>-115.598088</v>
      </c>
      <c r="AH372">
        <v>14555187</v>
      </c>
    </row>
    <row r="373" spans="2:34">
      <c r="B373" t="s">
        <v>345</v>
      </c>
      <c r="C373" t="s">
        <v>772</v>
      </c>
      <c r="D373" s="3">
        <v>42971.6875</v>
      </c>
      <c r="F373">
        <v>2017</v>
      </c>
      <c r="G373" t="s">
        <v>480</v>
      </c>
      <c r="H373" t="s">
        <v>352</v>
      </c>
      <c r="J373">
        <v>0</v>
      </c>
      <c r="L373">
        <v>2</v>
      </c>
      <c r="M373">
        <v>0</v>
      </c>
      <c r="N373">
        <v>0</v>
      </c>
      <c r="O373" t="s">
        <v>606</v>
      </c>
      <c r="R373" t="s">
        <v>603</v>
      </c>
      <c r="U373">
        <v>25</v>
      </c>
      <c r="V373">
        <v>25</v>
      </c>
      <c r="W373" t="s">
        <v>350</v>
      </c>
      <c r="X373" t="s">
        <v>349</v>
      </c>
      <c r="Y373" t="s">
        <v>348</v>
      </c>
      <c r="Z373">
        <v>2017</v>
      </c>
      <c r="AB373">
        <v>6</v>
      </c>
      <c r="AC373">
        <v>1.88</v>
      </c>
      <c r="AE373" t="s">
        <v>346</v>
      </c>
      <c r="AF373">
        <v>46.142674</v>
      </c>
      <c r="AG373">
        <v>-115.598088</v>
      </c>
      <c r="AH373">
        <v>14555385</v>
      </c>
    </row>
    <row r="374" spans="2:34">
      <c r="B374" t="s">
        <v>345</v>
      </c>
      <c r="C374" t="s">
        <v>772</v>
      </c>
      <c r="D374" s="3">
        <v>42971.6875</v>
      </c>
      <c r="F374">
        <v>2017</v>
      </c>
      <c r="G374" t="s">
        <v>605</v>
      </c>
      <c r="H374" t="s">
        <v>352</v>
      </c>
      <c r="J374">
        <v>0</v>
      </c>
      <c r="L374">
        <v>50</v>
      </c>
      <c r="M374">
        <v>0</v>
      </c>
      <c r="N374">
        <v>0</v>
      </c>
      <c r="O374" t="s">
        <v>606</v>
      </c>
      <c r="R374" t="s">
        <v>603</v>
      </c>
      <c r="U374">
        <v>25</v>
      </c>
      <c r="V374">
        <v>25</v>
      </c>
      <c r="W374" t="s">
        <v>350</v>
      </c>
      <c r="X374" t="s">
        <v>349</v>
      </c>
      <c r="Y374" t="s">
        <v>348</v>
      </c>
      <c r="Z374">
        <v>2017</v>
      </c>
      <c r="AB374">
        <v>6</v>
      </c>
      <c r="AC374">
        <v>1.88</v>
      </c>
      <c r="AE374" t="s">
        <v>346</v>
      </c>
      <c r="AF374">
        <v>46.142674</v>
      </c>
      <c r="AG374">
        <v>-115.598088</v>
      </c>
      <c r="AH374">
        <v>14555386</v>
      </c>
    </row>
    <row r="375" spans="2:34">
      <c r="B375" t="s">
        <v>345</v>
      </c>
      <c r="C375" t="s">
        <v>772</v>
      </c>
      <c r="D375" s="3">
        <v>42971.6875</v>
      </c>
      <c r="F375">
        <v>2017</v>
      </c>
      <c r="G375" t="s">
        <v>578</v>
      </c>
      <c r="H375" t="s">
        <v>352</v>
      </c>
      <c r="J375">
        <v>0</v>
      </c>
      <c r="L375">
        <v>1</v>
      </c>
      <c r="M375">
        <v>0</v>
      </c>
      <c r="N375">
        <v>0</v>
      </c>
      <c r="O375" t="s">
        <v>773</v>
      </c>
      <c r="R375" t="s">
        <v>603</v>
      </c>
      <c r="U375">
        <v>25</v>
      </c>
      <c r="V375">
        <v>25</v>
      </c>
      <c r="W375" t="s">
        <v>350</v>
      </c>
      <c r="X375" t="s">
        <v>349</v>
      </c>
      <c r="Y375" t="s">
        <v>348</v>
      </c>
      <c r="Z375">
        <v>2017</v>
      </c>
      <c r="AB375">
        <v>6</v>
      </c>
      <c r="AC375">
        <v>1.88</v>
      </c>
      <c r="AE375" t="s">
        <v>346</v>
      </c>
      <c r="AF375">
        <v>46.142674</v>
      </c>
      <c r="AG375">
        <v>-115.598088</v>
      </c>
      <c r="AH375">
        <v>14555387</v>
      </c>
    </row>
    <row r="376" spans="2:34">
      <c r="B376" t="s">
        <v>345</v>
      </c>
      <c r="C376" t="s">
        <v>774</v>
      </c>
      <c r="D376" s="3">
        <v>42892.318749999999</v>
      </c>
      <c r="F376">
        <v>2017</v>
      </c>
      <c r="G376" t="s">
        <v>611</v>
      </c>
      <c r="H376" t="s">
        <v>352</v>
      </c>
      <c r="J376">
        <v>0</v>
      </c>
      <c r="L376">
        <v>1</v>
      </c>
      <c r="M376">
        <v>73</v>
      </c>
      <c r="N376">
        <v>5</v>
      </c>
      <c r="O376" t="s">
        <v>353</v>
      </c>
      <c r="R376" t="s">
        <v>775</v>
      </c>
      <c r="U376">
        <v>9</v>
      </c>
      <c r="V376">
        <v>9</v>
      </c>
      <c r="W376" t="s">
        <v>350</v>
      </c>
      <c r="X376" t="s">
        <v>349</v>
      </c>
      <c r="Y376" t="s">
        <v>580</v>
      </c>
      <c r="Z376">
        <v>2017</v>
      </c>
      <c r="AB376">
        <v>12</v>
      </c>
      <c r="AC376">
        <v>7.65</v>
      </c>
      <c r="AE376" t="s">
        <v>346</v>
      </c>
      <c r="AF376">
        <v>46.142674</v>
      </c>
      <c r="AG376">
        <v>-115.598088</v>
      </c>
      <c r="AH376">
        <v>14556151</v>
      </c>
    </row>
    <row r="377" spans="2:34">
      <c r="B377" t="s">
        <v>345</v>
      </c>
      <c r="C377" t="s">
        <v>774</v>
      </c>
      <c r="D377" s="3">
        <v>42892.318749999999</v>
      </c>
      <c r="F377">
        <v>2017</v>
      </c>
      <c r="G377" t="s">
        <v>611</v>
      </c>
      <c r="H377" t="s">
        <v>352</v>
      </c>
      <c r="J377">
        <v>0</v>
      </c>
      <c r="L377">
        <v>1</v>
      </c>
      <c r="M377">
        <v>79</v>
      </c>
      <c r="N377">
        <v>6</v>
      </c>
      <c r="O377" t="s">
        <v>353</v>
      </c>
      <c r="R377" t="s">
        <v>775</v>
      </c>
      <c r="U377">
        <v>9</v>
      </c>
      <c r="V377">
        <v>9</v>
      </c>
      <c r="W377" t="s">
        <v>350</v>
      </c>
      <c r="X377" t="s">
        <v>349</v>
      </c>
      <c r="Y377" t="s">
        <v>580</v>
      </c>
      <c r="Z377">
        <v>2017</v>
      </c>
      <c r="AB377">
        <v>12</v>
      </c>
      <c r="AC377">
        <v>7.65</v>
      </c>
      <c r="AE377" t="s">
        <v>346</v>
      </c>
      <c r="AF377">
        <v>46.142674</v>
      </c>
      <c r="AG377">
        <v>-115.598088</v>
      </c>
      <c r="AH377">
        <v>14556152</v>
      </c>
    </row>
    <row r="378" spans="2:34">
      <c r="B378" t="s">
        <v>345</v>
      </c>
      <c r="C378" t="s">
        <v>774</v>
      </c>
      <c r="D378" s="3">
        <v>42892.318749999999</v>
      </c>
      <c r="F378">
        <v>2017</v>
      </c>
      <c r="G378" t="s">
        <v>611</v>
      </c>
      <c r="H378" t="s">
        <v>352</v>
      </c>
      <c r="J378">
        <v>0</v>
      </c>
      <c r="L378">
        <v>1</v>
      </c>
      <c r="M378">
        <v>70</v>
      </c>
      <c r="N378">
        <v>3</v>
      </c>
      <c r="O378" t="s">
        <v>353</v>
      </c>
      <c r="R378" t="s">
        <v>775</v>
      </c>
      <c r="U378">
        <v>9</v>
      </c>
      <c r="V378">
        <v>9</v>
      </c>
      <c r="W378" t="s">
        <v>350</v>
      </c>
      <c r="X378" t="s">
        <v>349</v>
      </c>
      <c r="Y378" t="s">
        <v>580</v>
      </c>
      <c r="Z378">
        <v>2017</v>
      </c>
      <c r="AB378">
        <v>12</v>
      </c>
      <c r="AC378">
        <v>7.65</v>
      </c>
      <c r="AE378" t="s">
        <v>346</v>
      </c>
      <c r="AF378">
        <v>46.142674</v>
      </c>
      <c r="AG378">
        <v>-115.598088</v>
      </c>
      <c r="AH378">
        <v>14556153</v>
      </c>
    </row>
    <row r="379" spans="2:34">
      <c r="B379" t="s">
        <v>345</v>
      </c>
      <c r="C379" t="s">
        <v>774</v>
      </c>
      <c r="D379" s="3">
        <v>42892.318749999999</v>
      </c>
      <c r="F379">
        <v>2017</v>
      </c>
      <c r="G379" t="s">
        <v>578</v>
      </c>
      <c r="H379" t="s">
        <v>352</v>
      </c>
      <c r="J379">
        <v>0</v>
      </c>
      <c r="L379">
        <v>1</v>
      </c>
      <c r="M379">
        <v>105</v>
      </c>
      <c r="N379">
        <v>13</v>
      </c>
      <c r="O379" t="s">
        <v>575</v>
      </c>
      <c r="Q379" t="s">
        <v>576</v>
      </c>
      <c r="R379" t="s">
        <v>775</v>
      </c>
      <c r="U379">
        <v>9</v>
      </c>
      <c r="V379">
        <v>9</v>
      </c>
      <c r="W379" t="s">
        <v>350</v>
      </c>
      <c r="X379" t="s">
        <v>349</v>
      </c>
      <c r="Y379" t="s">
        <v>580</v>
      </c>
      <c r="Z379">
        <v>2017</v>
      </c>
      <c r="AB379">
        <v>12</v>
      </c>
      <c r="AC379">
        <v>7.65</v>
      </c>
      <c r="AE379" t="s">
        <v>346</v>
      </c>
      <c r="AF379">
        <v>46.142674</v>
      </c>
      <c r="AG379">
        <v>-115.598088</v>
      </c>
      <c r="AH379">
        <v>14556154</v>
      </c>
    </row>
    <row r="380" spans="2:34">
      <c r="B380" t="s">
        <v>345</v>
      </c>
      <c r="C380" t="s">
        <v>776</v>
      </c>
      <c r="D380" s="3">
        <v>42911.375</v>
      </c>
      <c r="F380">
        <v>2017</v>
      </c>
      <c r="G380" t="s">
        <v>605</v>
      </c>
      <c r="H380" t="s">
        <v>352</v>
      </c>
      <c r="J380">
        <v>0</v>
      </c>
      <c r="L380">
        <v>1</v>
      </c>
      <c r="M380">
        <v>66</v>
      </c>
      <c r="N380">
        <v>3</v>
      </c>
      <c r="O380" t="s">
        <v>353</v>
      </c>
      <c r="R380" t="s">
        <v>608</v>
      </c>
      <c r="U380">
        <v>14.5</v>
      </c>
      <c r="V380">
        <v>15</v>
      </c>
      <c r="W380" t="s">
        <v>350</v>
      </c>
      <c r="X380" t="s">
        <v>349</v>
      </c>
      <c r="Y380" t="s">
        <v>348</v>
      </c>
      <c r="Z380">
        <v>2017</v>
      </c>
      <c r="AB380">
        <v>10</v>
      </c>
      <c r="AC380">
        <v>4.54</v>
      </c>
      <c r="AE380" t="s">
        <v>346</v>
      </c>
      <c r="AF380">
        <v>46.142674</v>
      </c>
      <c r="AG380">
        <v>-115.598088</v>
      </c>
      <c r="AH380">
        <v>14520651</v>
      </c>
    </row>
    <row r="381" spans="2:34">
      <c r="B381" t="s">
        <v>345</v>
      </c>
      <c r="C381" t="s">
        <v>776</v>
      </c>
      <c r="D381" s="3">
        <v>42911.375</v>
      </c>
      <c r="F381">
        <v>2017</v>
      </c>
      <c r="G381" t="s">
        <v>605</v>
      </c>
      <c r="H381" t="s">
        <v>352</v>
      </c>
      <c r="J381">
        <v>0</v>
      </c>
      <c r="L381">
        <v>1</v>
      </c>
      <c r="M381">
        <v>77</v>
      </c>
      <c r="N381">
        <v>5</v>
      </c>
      <c r="O381" t="s">
        <v>353</v>
      </c>
      <c r="R381" t="s">
        <v>608</v>
      </c>
      <c r="U381">
        <v>14.5</v>
      </c>
      <c r="V381">
        <v>15</v>
      </c>
      <c r="W381" t="s">
        <v>350</v>
      </c>
      <c r="X381" t="s">
        <v>349</v>
      </c>
      <c r="Y381" t="s">
        <v>348</v>
      </c>
      <c r="Z381">
        <v>2017</v>
      </c>
      <c r="AB381">
        <v>10</v>
      </c>
      <c r="AC381">
        <v>4.54</v>
      </c>
      <c r="AE381" t="s">
        <v>346</v>
      </c>
      <c r="AF381">
        <v>46.142674</v>
      </c>
      <c r="AG381">
        <v>-115.598088</v>
      </c>
      <c r="AH381">
        <v>14520652</v>
      </c>
    </row>
    <row r="382" spans="2:34">
      <c r="B382" t="s">
        <v>345</v>
      </c>
      <c r="C382" t="s">
        <v>776</v>
      </c>
      <c r="D382" s="3">
        <v>42911.375</v>
      </c>
      <c r="F382">
        <v>2017</v>
      </c>
      <c r="G382" t="s">
        <v>605</v>
      </c>
      <c r="H382" t="s">
        <v>352</v>
      </c>
      <c r="J382">
        <v>0</v>
      </c>
      <c r="L382">
        <v>1</v>
      </c>
      <c r="M382">
        <v>63</v>
      </c>
      <c r="N382">
        <v>2</v>
      </c>
      <c r="O382" t="s">
        <v>353</v>
      </c>
      <c r="R382" t="s">
        <v>608</v>
      </c>
      <c r="U382">
        <v>14.5</v>
      </c>
      <c r="V382">
        <v>15</v>
      </c>
      <c r="W382" t="s">
        <v>350</v>
      </c>
      <c r="X382" t="s">
        <v>349</v>
      </c>
      <c r="Y382" t="s">
        <v>348</v>
      </c>
      <c r="Z382">
        <v>2017</v>
      </c>
      <c r="AB382">
        <v>10</v>
      </c>
      <c r="AC382">
        <v>4.54</v>
      </c>
      <c r="AE382" t="s">
        <v>346</v>
      </c>
      <c r="AF382">
        <v>46.142674</v>
      </c>
      <c r="AG382">
        <v>-115.598088</v>
      </c>
      <c r="AH382">
        <v>14520653</v>
      </c>
    </row>
    <row r="383" spans="2:34">
      <c r="B383" t="s">
        <v>345</v>
      </c>
      <c r="C383" t="s">
        <v>776</v>
      </c>
      <c r="D383" s="3">
        <v>42911.375</v>
      </c>
      <c r="F383">
        <v>2017</v>
      </c>
      <c r="G383" t="s">
        <v>743</v>
      </c>
      <c r="H383" t="s">
        <v>352</v>
      </c>
      <c r="J383">
        <v>0</v>
      </c>
      <c r="L383">
        <v>1</v>
      </c>
      <c r="M383">
        <v>75</v>
      </c>
      <c r="N383">
        <v>6</v>
      </c>
      <c r="O383" t="s">
        <v>353</v>
      </c>
      <c r="R383" t="s">
        <v>608</v>
      </c>
      <c r="U383">
        <v>14.5</v>
      </c>
      <c r="V383">
        <v>15</v>
      </c>
      <c r="W383" t="s">
        <v>350</v>
      </c>
      <c r="X383" t="s">
        <v>349</v>
      </c>
      <c r="Y383" t="s">
        <v>348</v>
      </c>
      <c r="Z383">
        <v>2017</v>
      </c>
      <c r="AB383">
        <v>10</v>
      </c>
      <c r="AC383">
        <v>4.54</v>
      </c>
      <c r="AE383" t="s">
        <v>346</v>
      </c>
      <c r="AF383">
        <v>46.142674</v>
      </c>
      <c r="AG383">
        <v>-115.598088</v>
      </c>
      <c r="AH383">
        <v>14520654</v>
      </c>
    </row>
    <row r="384" spans="2:34">
      <c r="B384" t="s">
        <v>345</v>
      </c>
      <c r="C384" t="s">
        <v>776</v>
      </c>
      <c r="D384" s="3">
        <v>42911.375</v>
      </c>
      <c r="F384">
        <v>2017</v>
      </c>
      <c r="G384" t="s">
        <v>605</v>
      </c>
      <c r="H384" t="s">
        <v>352</v>
      </c>
      <c r="J384">
        <v>0</v>
      </c>
      <c r="L384">
        <v>1</v>
      </c>
      <c r="M384">
        <v>78</v>
      </c>
      <c r="N384">
        <v>5</v>
      </c>
      <c r="O384" t="s">
        <v>353</v>
      </c>
      <c r="R384" t="s">
        <v>608</v>
      </c>
      <c r="U384">
        <v>14.5</v>
      </c>
      <c r="V384">
        <v>15</v>
      </c>
      <c r="W384" t="s">
        <v>350</v>
      </c>
      <c r="X384" t="s">
        <v>349</v>
      </c>
      <c r="Y384" t="s">
        <v>348</v>
      </c>
      <c r="Z384">
        <v>2017</v>
      </c>
      <c r="AB384">
        <v>10</v>
      </c>
      <c r="AC384">
        <v>4.54</v>
      </c>
      <c r="AE384" t="s">
        <v>346</v>
      </c>
      <c r="AF384">
        <v>46.142674</v>
      </c>
      <c r="AG384">
        <v>-115.598088</v>
      </c>
      <c r="AH384">
        <v>14520655</v>
      </c>
    </row>
    <row r="385" spans="2:34">
      <c r="B385" t="s">
        <v>345</v>
      </c>
      <c r="C385" t="s">
        <v>776</v>
      </c>
      <c r="D385" s="3">
        <v>42911.375</v>
      </c>
      <c r="F385">
        <v>2017</v>
      </c>
      <c r="G385" t="s">
        <v>611</v>
      </c>
      <c r="H385" t="s">
        <v>352</v>
      </c>
      <c r="J385">
        <v>0</v>
      </c>
      <c r="L385">
        <v>1</v>
      </c>
      <c r="M385">
        <v>107</v>
      </c>
      <c r="N385">
        <v>15</v>
      </c>
      <c r="O385" t="s">
        <v>353</v>
      </c>
      <c r="R385" t="s">
        <v>608</v>
      </c>
      <c r="U385">
        <v>14.5</v>
      </c>
      <c r="V385">
        <v>15</v>
      </c>
      <c r="W385" t="s">
        <v>350</v>
      </c>
      <c r="X385" t="s">
        <v>349</v>
      </c>
      <c r="Y385" t="s">
        <v>348</v>
      </c>
      <c r="Z385">
        <v>2017</v>
      </c>
      <c r="AB385">
        <v>10</v>
      </c>
      <c r="AC385">
        <v>4.54</v>
      </c>
      <c r="AE385" t="s">
        <v>346</v>
      </c>
      <c r="AF385">
        <v>46.142674</v>
      </c>
      <c r="AG385">
        <v>-115.598088</v>
      </c>
      <c r="AH385">
        <v>14520656</v>
      </c>
    </row>
    <row r="386" spans="2:34">
      <c r="B386" t="s">
        <v>345</v>
      </c>
      <c r="C386" t="s">
        <v>776</v>
      </c>
      <c r="D386" s="3">
        <v>42911.375</v>
      </c>
      <c r="F386">
        <v>2017</v>
      </c>
      <c r="G386" t="s">
        <v>743</v>
      </c>
      <c r="H386" t="s">
        <v>352</v>
      </c>
      <c r="J386">
        <v>0</v>
      </c>
      <c r="L386">
        <v>1</v>
      </c>
      <c r="M386">
        <v>85</v>
      </c>
      <c r="N386">
        <v>7</v>
      </c>
      <c r="O386" t="s">
        <v>353</v>
      </c>
      <c r="R386" t="s">
        <v>608</v>
      </c>
      <c r="U386">
        <v>14.5</v>
      </c>
      <c r="V386">
        <v>15</v>
      </c>
      <c r="W386" t="s">
        <v>350</v>
      </c>
      <c r="X386" t="s">
        <v>349</v>
      </c>
      <c r="Y386" t="s">
        <v>348</v>
      </c>
      <c r="Z386">
        <v>2017</v>
      </c>
      <c r="AB386">
        <v>10</v>
      </c>
      <c r="AC386">
        <v>4.54</v>
      </c>
      <c r="AE386" t="s">
        <v>346</v>
      </c>
      <c r="AF386">
        <v>46.142674</v>
      </c>
      <c r="AG386">
        <v>-115.598088</v>
      </c>
      <c r="AH386">
        <v>14520657</v>
      </c>
    </row>
    <row r="387" spans="2:34">
      <c r="B387" t="s">
        <v>345</v>
      </c>
      <c r="C387" t="s">
        <v>776</v>
      </c>
      <c r="D387" s="3">
        <v>42911.375</v>
      </c>
      <c r="F387">
        <v>2017</v>
      </c>
      <c r="G387" t="s">
        <v>602</v>
      </c>
      <c r="H387" t="s">
        <v>352</v>
      </c>
      <c r="J387">
        <v>0</v>
      </c>
      <c r="L387">
        <v>2</v>
      </c>
      <c r="M387">
        <v>64</v>
      </c>
      <c r="N387">
        <v>3</v>
      </c>
      <c r="O387" t="s">
        <v>353</v>
      </c>
      <c r="R387" t="s">
        <v>608</v>
      </c>
      <c r="U387">
        <v>14.5</v>
      </c>
      <c r="V387">
        <v>15</v>
      </c>
      <c r="W387" t="s">
        <v>350</v>
      </c>
      <c r="X387" t="s">
        <v>349</v>
      </c>
      <c r="Y387" t="s">
        <v>348</v>
      </c>
      <c r="Z387">
        <v>2017</v>
      </c>
      <c r="AB387">
        <v>10</v>
      </c>
      <c r="AC387">
        <v>4.54</v>
      </c>
      <c r="AE387" t="s">
        <v>346</v>
      </c>
      <c r="AF387">
        <v>46.142674</v>
      </c>
      <c r="AG387">
        <v>-115.598088</v>
      </c>
      <c r="AH387">
        <v>14520658</v>
      </c>
    </row>
    <row r="388" spans="2:34">
      <c r="B388" t="s">
        <v>345</v>
      </c>
      <c r="C388" t="s">
        <v>776</v>
      </c>
      <c r="D388" s="3">
        <v>42911.375</v>
      </c>
      <c r="F388">
        <v>2017</v>
      </c>
      <c r="G388" t="s">
        <v>605</v>
      </c>
      <c r="H388" t="s">
        <v>352</v>
      </c>
      <c r="J388">
        <v>0</v>
      </c>
      <c r="L388">
        <v>1</v>
      </c>
      <c r="M388">
        <v>65</v>
      </c>
      <c r="N388">
        <v>3</v>
      </c>
      <c r="O388" t="s">
        <v>353</v>
      </c>
      <c r="R388" t="s">
        <v>608</v>
      </c>
      <c r="U388">
        <v>14.5</v>
      </c>
      <c r="V388">
        <v>15</v>
      </c>
      <c r="W388" t="s">
        <v>350</v>
      </c>
      <c r="X388" t="s">
        <v>349</v>
      </c>
      <c r="Y388" t="s">
        <v>348</v>
      </c>
      <c r="Z388">
        <v>2017</v>
      </c>
      <c r="AB388">
        <v>10</v>
      </c>
      <c r="AC388">
        <v>4.54</v>
      </c>
      <c r="AE388" t="s">
        <v>346</v>
      </c>
      <c r="AF388">
        <v>46.142674</v>
      </c>
      <c r="AG388">
        <v>-115.598088</v>
      </c>
      <c r="AH388">
        <v>14520659</v>
      </c>
    </row>
    <row r="389" spans="2:34">
      <c r="B389" t="s">
        <v>345</v>
      </c>
      <c r="C389" t="s">
        <v>776</v>
      </c>
      <c r="D389" s="3">
        <v>42911.375</v>
      </c>
      <c r="F389">
        <v>2017</v>
      </c>
      <c r="G389" t="s">
        <v>605</v>
      </c>
      <c r="H389" t="s">
        <v>352</v>
      </c>
      <c r="J389">
        <v>0</v>
      </c>
      <c r="L389">
        <v>1</v>
      </c>
      <c r="M389">
        <v>75</v>
      </c>
      <c r="N389">
        <v>4</v>
      </c>
      <c r="O389" t="s">
        <v>353</v>
      </c>
      <c r="R389" t="s">
        <v>608</v>
      </c>
      <c r="U389">
        <v>14.5</v>
      </c>
      <c r="V389">
        <v>15</v>
      </c>
      <c r="W389" t="s">
        <v>350</v>
      </c>
      <c r="X389" t="s">
        <v>349</v>
      </c>
      <c r="Y389" t="s">
        <v>348</v>
      </c>
      <c r="Z389">
        <v>2017</v>
      </c>
      <c r="AB389">
        <v>10</v>
      </c>
      <c r="AC389">
        <v>4.54</v>
      </c>
      <c r="AE389" t="s">
        <v>346</v>
      </c>
      <c r="AF389">
        <v>46.142674</v>
      </c>
      <c r="AG389">
        <v>-115.598088</v>
      </c>
      <c r="AH389">
        <v>14520660</v>
      </c>
    </row>
    <row r="390" spans="2:34">
      <c r="B390" t="s">
        <v>345</v>
      </c>
      <c r="C390" t="s">
        <v>776</v>
      </c>
      <c r="D390" s="3">
        <v>42911.375</v>
      </c>
      <c r="F390">
        <v>2017</v>
      </c>
      <c r="G390" t="s">
        <v>611</v>
      </c>
      <c r="H390" t="s">
        <v>352</v>
      </c>
      <c r="J390">
        <v>0</v>
      </c>
      <c r="L390">
        <v>1</v>
      </c>
      <c r="M390">
        <v>105</v>
      </c>
      <c r="N390">
        <v>15</v>
      </c>
      <c r="O390" t="s">
        <v>353</v>
      </c>
      <c r="R390" t="s">
        <v>608</v>
      </c>
      <c r="U390">
        <v>14.5</v>
      </c>
      <c r="V390">
        <v>15</v>
      </c>
      <c r="W390" t="s">
        <v>350</v>
      </c>
      <c r="X390" t="s">
        <v>349</v>
      </c>
      <c r="Y390" t="s">
        <v>348</v>
      </c>
      <c r="Z390">
        <v>2017</v>
      </c>
      <c r="AB390">
        <v>10</v>
      </c>
      <c r="AC390">
        <v>4.54</v>
      </c>
      <c r="AE390" t="s">
        <v>346</v>
      </c>
      <c r="AF390">
        <v>46.142674</v>
      </c>
      <c r="AG390">
        <v>-115.598088</v>
      </c>
      <c r="AH390">
        <v>14520661</v>
      </c>
    </row>
    <row r="391" spans="2:34">
      <c r="B391" t="s">
        <v>345</v>
      </c>
      <c r="C391" t="s">
        <v>777</v>
      </c>
      <c r="D391" s="3">
        <v>42970.361111111109</v>
      </c>
      <c r="F391">
        <v>2017</v>
      </c>
      <c r="G391" t="s">
        <v>605</v>
      </c>
      <c r="H391" t="s">
        <v>352</v>
      </c>
      <c r="J391">
        <v>0</v>
      </c>
      <c r="L391">
        <v>30</v>
      </c>
      <c r="M391">
        <v>0</v>
      </c>
      <c r="N391">
        <v>0</v>
      </c>
      <c r="O391" t="s">
        <v>606</v>
      </c>
      <c r="R391" t="s">
        <v>778</v>
      </c>
      <c r="U391">
        <v>25</v>
      </c>
      <c r="V391">
        <v>25</v>
      </c>
      <c r="W391" t="s">
        <v>350</v>
      </c>
      <c r="X391" t="s">
        <v>349</v>
      </c>
      <c r="Y391" t="s">
        <v>642</v>
      </c>
      <c r="Z391">
        <v>2017</v>
      </c>
      <c r="AB391">
        <v>6</v>
      </c>
      <c r="AC391">
        <v>1.9</v>
      </c>
      <c r="AE391" t="s">
        <v>346</v>
      </c>
      <c r="AF391">
        <v>46.142674</v>
      </c>
      <c r="AG391">
        <v>-115.598088</v>
      </c>
      <c r="AH391">
        <v>14566744</v>
      </c>
    </row>
    <row r="392" spans="2:34">
      <c r="B392" t="s">
        <v>345</v>
      </c>
      <c r="C392" t="s">
        <v>779</v>
      </c>
      <c r="D392" s="3">
        <v>42846.400000000001</v>
      </c>
      <c r="F392">
        <v>2017</v>
      </c>
      <c r="G392" t="s">
        <v>574</v>
      </c>
      <c r="H392" t="s">
        <v>352</v>
      </c>
      <c r="J392">
        <v>0</v>
      </c>
      <c r="L392">
        <v>1</v>
      </c>
      <c r="M392">
        <v>102</v>
      </c>
      <c r="N392">
        <v>10</v>
      </c>
      <c r="O392" t="s">
        <v>575</v>
      </c>
      <c r="Q392" t="s">
        <v>576</v>
      </c>
      <c r="R392" t="s">
        <v>780</v>
      </c>
      <c r="U392">
        <v>6</v>
      </c>
      <c r="V392">
        <v>6.5</v>
      </c>
      <c r="W392" t="s">
        <v>350</v>
      </c>
      <c r="X392" t="s">
        <v>349</v>
      </c>
      <c r="Y392" t="s">
        <v>580</v>
      </c>
      <c r="Z392">
        <v>2017</v>
      </c>
      <c r="AB392">
        <v>13</v>
      </c>
      <c r="AC392">
        <v>5.55</v>
      </c>
      <c r="AE392" t="s">
        <v>346</v>
      </c>
      <c r="AF392">
        <v>46.142674</v>
      </c>
      <c r="AG392">
        <v>-115.598088</v>
      </c>
      <c r="AH392">
        <v>14573565</v>
      </c>
    </row>
    <row r="393" spans="2:34">
      <c r="B393" t="s">
        <v>345</v>
      </c>
      <c r="C393" t="s">
        <v>779</v>
      </c>
      <c r="D393" s="3">
        <v>42846.400000000001</v>
      </c>
      <c r="F393">
        <v>2017</v>
      </c>
      <c r="G393" t="s">
        <v>578</v>
      </c>
      <c r="H393" t="s">
        <v>352</v>
      </c>
      <c r="J393">
        <v>0</v>
      </c>
      <c r="L393">
        <v>1</v>
      </c>
      <c r="M393">
        <v>169</v>
      </c>
      <c r="N393">
        <v>43</v>
      </c>
      <c r="O393" t="s">
        <v>575</v>
      </c>
      <c r="Q393" t="s">
        <v>781</v>
      </c>
      <c r="R393" t="s">
        <v>780</v>
      </c>
      <c r="U393">
        <v>6</v>
      </c>
      <c r="V393">
        <v>6.5</v>
      </c>
      <c r="W393" t="s">
        <v>350</v>
      </c>
      <c r="X393" t="s">
        <v>349</v>
      </c>
      <c r="Y393" t="s">
        <v>580</v>
      </c>
      <c r="Z393">
        <v>2017</v>
      </c>
      <c r="AB393">
        <v>13</v>
      </c>
      <c r="AC393">
        <v>5.55</v>
      </c>
      <c r="AE393" t="s">
        <v>346</v>
      </c>
      <c r="AF393">
        <v>46.142674</v>
      </c>
      <c r="AG393">
        <v>-115.598088</v>
      </c>
      <c r="AH393">
        <v>14573566</v>
      </c>
    </row>
    <row r="394" spans="2:34">
      <c r="B394" t="s">
        <v>345</v>
      </c>
      <c r="C394" t="s">
        <v>779</v>
      </c>
      <c r="D394" s="3">
        <v>42846.400000000001</v>
      </c>
      <c r="F394">
        <v>2017</v>
      </c>
      <c r="G394" t="s">
        <v>578</v>
      </c>
      <c r="H394" t="s">
        <v>352</v>
      </c>
      <c r="J394">
        <v>0</v>
      </c>
      <c r="L394">
        <v>1</v>
      </c>
      <c r="M394">
        <v>210</v>
      </c>
      <c r="N394">
        <v>82</v>
      </c>
      <c r="O394" t="s">
        <v>575</v>
      </c>
      <c r="Q394" t="s">
        <v>782</v>
      </c>
      <c r="R394" t="s">
        <v>780</v>
      </c>
      <c r="U394">
        <v>6</v>
      </c>
      <c r="V394">
        <v>6.5</v>
      </c>
      <c r="W394" t="s">
        <v>350</v>
      </c>
      <c r="X394" t="s">
        <v>349</v>
      </c>
      <c r="Y394" t="s">
        <v>580</v>
      </c>
      <c r="Z394">
        <v>2017</v>
      </c>
      <c r="AB394">
        <v>13</v>
      </c>
      <c r="AC394">
        <v>5.55</v>
      </c>
      <c r="AE394" t="s">
        <v>346</v>
      </c>
      <c r="AF394">
        <v>46.142674</v>
      </c>
      <c r="AG394">
        <v>-115.598088</v>
      </c>
      <c r="AH394">
        <v>14573567</v>
      </c>
    </row>
    <row r="395" spans="2:34">
      <c r="B395" t="s">
        <v>345</v>
      </c>
      <c r="C395" t="s">
        <v>779</v>
      </c>
      <c r="D395" s="3">
        <v>42846.400000000001</v>
      </c>
      <c r="F395">
        <v>2017</v>
      </c>
      <c r="G395" t="s">
        <v>578</v>
      </c>
      <c r="H395" t="s">
        <v>352</v>
      </c>
      <c r="J395">
        <v>0</v>
      </c>
      <c r="L395">
        <v>1</v>
      </c>
      <c r="M395">
        <v>198</v>
      </c>
      <c r="N395">
        <v>74</v>
      </c>
      <c r="O395" t="s">
        <v>575</v>
      </c>
      <c r="Q395" t="s">
        <v>783</v>
      </c>
      <c r="R395" t="s">
        <v>780</v>
      </c>
      <c r="U395">
        <v>6</v>
      </c>
      <c r="V395">
        <v>6.5</v>
      </c>
      <c r="W395" t="s">
        <v>350</v>
      </c>
      <c r="X395" t="s">
        <v>349</v>
      </c>
      <c r="Y395" t="s">
        <v>580</v>
      </c>
      <c r="Z395">
        <v>2017</v>
      </c>
      <c r="AB395">
        <v>13</v>
      </c>
      <c r="AC395">
        <v>5.55</v>
      </c>
      <c r="AE395" t="s">
        <v>346</v>
      </c>
      <c r="AF395">
        <v>46.142674</v>
      </c>
      <c r="AG395">
        <v>-115.598088</v>
      </c>
      <c r="AH395">
        <v>14573568</v>
      </c>
    </row>
    <row r="396" spans="2:34">
      <c r="B396" t="s">
        <v>345</v>
      </c>
      <c r="C396" t="s">
        <v>779</v>
      </c>
      <c r="D396" s="3">
        <v>42846.400000000001</v>
      </c>
      <c r="F396">
        <v>2017</v>
      </c>
      <c r="G396" t="s">
        <v>578</v>
      </c>
      <c r="H396" t="s">
        <v>352</v>
      </c>
      <c r="J396">
        <v>0</v>
      </c>
      <c r="L396">
        <v>1</v>
      </c>
      <c r="M396">
        <v>187</v>
      </c>
      <c r="N396">
        <v>54</v>
      </c>
      <c r="O396" t="s">
        <v>575</v>
      </c>
      <c r="Q396" t="s">
        <v>784</v>
      </c>
      <c r="R396" t="s">
        <v>780</v>
      </c>
      <c r="U396">
        <v>6</v>
      </c>
      <c r="V396">
        <v>6.5</v>
      </c>
      <c r="W396" t="s">
        <v>350</v>
      </c>
      <c r="X396" t="s">
        <v>349</v>
      </c>
      <c r="Y396" t="s">
        <v>580</v>
      </c>
      <c r="Z396">
        <v>2017</v>
      </c>
      <c r="AB396">
        <v>13</v>
      </c>
      <c r="AC396">
        <v>5.55</v>
      </c>
      <c r="AE396" t="s">
        <v>346</v>
      </c>
      <c r="AF396">
        <v>46.142674</v>
      </c>
      <c r="AG396">
        <v>-115.598088</v>
      </c>
      <c r="AH396">
        <v>14573569</v>
      </c>
    </row>
    <row r="397" spans="2:34">
      <c r="B397" t="s">
        <v>345</v>
      </c>
      <c r="C397" t="s">
        <v>779</v>
      </c>
      <c r="D397" s="3">
        <v>42846.400000000001</v>
      </c>
      <c r="F397">
        <v>2017</v>
      </c>
      <c r="G397" t="s">
        <v>578</v>
      </c>
      <c r="H397" t="s">
        <v>352</v>
      </c>
      <c r="J397">
        <v>0</v>
      </c>
      <c r="L397">
        <v>1</v>
      </c>
      <c r="M397">
        <v>170</v>
      </c>
      <c r="N397">
        <v>45</v>
      </c>
      <c r="O397" t="s">
        <v>575</v>
      </c>
      <c r="Q397" t="s">
        <v>785</v>
      </c>
      <c r="R397" t="s">
        <v>780</v>
      </c>
      <c r="U397">
        <v>6</v>
      </c>
      <c r="V397">
        <v>6.5</v>
      </c>
      <c r="W397" t="s">
        <v>350</v>
      </c>
      <c r="X397" t="s">
        <v>349</v>
      </c>
      <c r="Y397" t="s">
        <v>580</v>
      </c>
      <c r="Z397">
        <v>2017</v>
      </c>
      <c r="AB397">
        <v>13</v>
      </c>
      <c r="AC397">
        <v>5.55</v>
      </c>
      <c r="AE397" t="s">
        <v>346</v>
      </c>
      <c r="AF397">
        <v>46.142674</v>
      </c>
      <c r="AG397">
        <v>-115.598088</v>
      </c>
      <c r="AH397">
        <v>14573570</v>
      </c>
    </row>
    <row r="398" spans="2:34">
      <c r="B398" t="s">
        <v>345</v>
      </c>
      <c r="C398" t="s">
        <v>779</v>
      </c>
      <c r="D398" s="3">
        <v>42846.400000000001</v>
      </c>
      <c r="F398">
        <v>2017</v>
      </c>
      <c r="G398" t="s">
        <v>578</v>
      </c>
      <c r="H398" t="s">
        <v>352</v>
      </c>
      <c r="J398">
        <v>0</v>
      </c>
      <c r="L398">
        <v>1</v>
      </c>
      <c r="M398">
        <v>188</v>
      </c>
      <c r="N398">
        <v>54</v>
      </c>
      <c r="O398" t="s">
        <v>575</v>
      </c>
      <c r="Q398" t="s">
        <v>786</v>
      </c>
      <c r="R398" t="s">
        <v>780</v>
      </c>
      <c r="U398">
        <v>6</v>
      </c>
      <c r="V398">
        <v>6.5</v>
      </c>
      <c r="W398" t="s">
        <v>350</v>
      </c>
      <c r="X398" t="s">
        <v>349</v>
      </c>
      <c r="Y398" t="s">
        <v>580</v>
      </c>
      <c r="Z398">
        <v>2017</v>
      </c>
      <c r="AB398">
        <v>13</v>
      </c>
      <c r="AC398">
        <v>5.55</v>
      </c>
      <c r="AE398" t="s">
        <v>346</v>
      </c>
      <c r="AF398">
        <v>46.142674</v>
      </c>
      <c r="AG398">
        <v>-115.598088</v>
      </c>
      <c r="AH398">
        <v>14573571</v>
      </c>
    </row>
    <row r="399" spans="2:34">
      <c r="B399" t="s">
        <v>345</v>
      </c>
      <c r="C399" t="s">
        <v>779</v>
      </c>
      <c r="D399" s="3">
        <v>42846.400000000001</v>
      </c>
      <c r="F399">
        <v>2017</v>
      </c>
      <c r="G399" t="s">
        <v>578</v>
      </c>
      <c r="H399" t="s">
        <v>352</v>
      </c>
      <c r="J399">
        <v>0</v>
      </c>
      <c r="L399">
        <v>1</v>
      </c>
      <c r="M399">
        <v>196</v>
      </c>
      <c r="N399">
        <v>67</v>
      </c>
      <c r="O399" t="s">
        <v>575</v>
      </c>
      <c r="Q399" t="s">
        <v>787</v>
      </c>
      <c r="R399" t="s">
        <v>780</v>
      </c>
      <c r="U399">
        <v>6</v>
      </c>
      <c r="V399">
        <v>6.5</v>
      </c>
      <c r="W399" t="s">
        <v>350</v>
      </c>
      <c r="X399" t="s">
        <v>349</v>
      </c>
      <c r="Y399" t="s">
        <v>580</v>
      </c>
      <c r="Z399">
        <v>2017</v>
      </c>
      <c r="AB399">
        <v>13</v>
      </c>
      <c r="AC399">
        <v>5.55</v>
      </c>
      <c r="AE399" t="s">
        <v>346</v>
      </c>
      <c r="AF399">
        <v>46.142674</v>
      </c>
      <c r="AG399">
        <v>-115.598088</v>
      </c>
      <c r="AH399">
        <v>14573572</v>
      </c>
    </row>
    <row r="400" spans="2:34">
      <c r="B400" t="s">
        <v>345</v>
      </c>
      <c r="C400" t="s">
        <v>779</v>
      </c>
      <c r="D400" s="3">
        <v>42846.400000000001</v>
      </c>
      <c r="F400">
        <v>2017</v>
      </c>
      <c r="G400" t="s">
        <v>578</v>
      </c>
      <c r="H400" t="s">
        <v>352</v>
      </c>
      <c r="J400">
        <v>0</v>
      </c>
      <c r="L400">
        <v>1</v>
      </c>
      <c r="M400">
        <v>190</v>
      </c>
      <c r="N400">
        <v>56</v>
      </c>
      <c r="O400" t="s">
        <v>575</v>
      </c>
      <c r="Q400" t="s">
        <v>788</v>
      </c>
      <c r="R400" t="s">
        <v>780</v>
      </c>
      <c r="U400">
        <v>6</v>
      </c>
      <c r="V400">
        <v>6.5</v>
      </c>
      <c r="W400" t="s">
        <v>350</v>
      </c>
      <c r="X400" t="s">
        <v>349</v>
      </c>
      <c r="Y400" t="s">
        <v>580</v>
      </c>
      <c r="Z400">
        <v>2017</v>
      </c>
      <c r="AB400">
        <v>13</v>
      </c>
      <c r="AC400">
        <v>5.55</v>
      </c>
      <c r="AE400" t="s">
        <v>346</v>
      </c>
      <c r="AF400">
        <v>46.142674</v>
      </c>
      <c r="AG400">
        <v>-115.598088</v>
      </c>
      <c r="AH400">
        <v>14573573</v>
      </c>
    </row>
    <row r="401" spans="2:34">
      <c r="B401" t="s">
        <v>345</v>
      </c>
      <c r="C401" t="s">
        <v>779</v>
      </c>
      <c r="D401" s="3">
        <v>42846.400000000001</v>
      </c>
      <c r="F401">
        <v>2017</v>
      </c>
      <c r="G401" t="s">
        <v>578</v>
      </c>
      <c r="H401" t="s">
        <v>352</v>
      </c>
      <c r="J401">
        <v>0</v>
      </c>
      <c r="L401">
        <v>1</v>
      </c>
      <c r="M401">
        <v>174</v>
      </c>
      <c r="N401">
        <v>50</v>
      </c>
      <c r="O401" t="s">
        <v>575</v>
      </c>
      <c r="Q401" t="s">
        <v>789</v>
      </c>
      <c r="R401" t="s">
        <v>780</v>
      </c>
      <c r="U401">
        <v>6</v>
      </c>
      <c r="V401">
        <v>6.5</v>
      </c>
      <c r="W401" t="s">
        <v>350</v>
      </c>
      <c r="X401" t="s">
        <v>349</v>
      </c>
      <c r="Y401" t="s">
        <v>580</v>
      </c>
      <c r="Z401">
        <v>2017</v>
      </c>
      <c r="AB401">
        <v>13</v>
      </c>
      <c r="AC401">
        <v>5.55</v>
      </c>
      <c r="AE401" t="s">
        <v>346</v>
      </c>
      <c r="AF401">
        <v>46.142674</v>
      </c>
      <c r="AG401">
        <v>-115.598088</v>
      </c>
      <c r="AH401">
        <v>14573574</v>
      </c>
    </row>
    <row r="402" spans="2:34">
      <c r="B402" t="s">
        <v>345</v>
      </c>
      <c r="C402" t="s">
        <v>779</v>
      </c>
      <c r="D402" s="3">
        <v>42846.400000000001</v>
      </c>
      <c r="F402">
        <v>2017</v>
      </c>
      <c r="G402" t="s">
        <v>578</v>
      </c>
      <c r="H402" t="s">
        <v>352</v>
      </c>
      <c r="J402">
        <v>0</v>
      </c>
      <c r="L402">
        <v>1</v>
      </c>
      <c r="M402">
        <v>166</v>
      </c>
      <c r="N402">
        <v>39</v>
      </c>
      <c r="O402" t="s">
        <v>575</v>
      </c>
      <c r="Q402" t="s">
        <v>790</v>
      </c>
      <c r="R402" t="s">
        <v>780</v>
      </c>
      <c r="U402">
        <v>6</v>
      </c>
      <c r="V402">
        <v>6.5</v>
      </c>
      <c r="W402" t="s">
        <v>350</v>
      </c>
      <c r="X402" t="s">
        <v>349</v>
      </c>
      <c r="Y402" t="s">
        <v>580</v>
      </c>
      <c r="Z402">
        <v>2017</v>
      </c>
      <c r="AB402">
        <v>13</v>
      </c>
      <c r="AC402">
        <v>5.55</v>
      </c>
      <c r="AE402" t="s">
        <v>346</v>
      </c>
      <c r="AF402">
        <v>46.142674</v>
      </c>
      <c r="AG402">
        <v>-115.598088</v>
      </c>
      <c r="AH402">
        <v>14573575</v>
      </c>
    </row>
    <row r="403" spans="2:34">
      <c r="B403" t="s">
        <v>345</v>
      </c>
      <c r="C403" t="s">
        <v>779</v>
      </c>
      <c r="D403" s="3">
        <v>42846.400000000001</v>
      </c>
      <c r="F403">
        <v>2017</v>
      </c>
      <c r="G403" t="s">
        <v>578</v>
      </c>
      <c r="H403" t="s">
        <v>352</v>
      </c>
      <c r="J403">
        <v>0</v>
      </c>
      <c r="L403">
        <v>1</v>
      </c>
      <c r="M403">
        <v>147</v>
      </c>
      <c r="N403">
        <v>27</v>
      </c>
      <c r="O403" t="s">
        <v>575</v>
      </c>
      <c r="Q403" t="s">
        <v>791</v>
      </c>
      <c r="R403" t="s">
        <v>780</v>
      </c>
      <c r="U403">
        <v>6</v>
      </c>
      <c r="V403">
        <v>6.5</v>
      </c>
      <c r="W403" t="s">
        <v>350</v>
      </c>
      <c r="X403" t="s">
        <v>349</v>
      </c>
      <c r="Y403" t="s">
        <v>580</v>
      </c>
      <c r="Z403">
        <v>2017</v>
      </c>
      <c r="AB403">
        <v>13</v>
      </c>
      <c r="AC403">
        <v>5.55</v>
      </c>
      <c r="AE403" t="s">
        <v>346</v>
      </c>
      <c r="AF403">
        <v>46.142674</v>
      </c>
      <c r="AG403">
        <v>-115.598088</v>
      </c>
      <c r="AH403">
        <v>14573576</v>
      </c>
    </row>
    <row r="404" spans="2:34">
      <c r="B404" t="s">
        <v>345</v>
      </c>
      <c r="C404" t="s">
        <v>779</v>
      </c>
      <c r="D404" s="3">
        <v>42846.400000000001</v>
      </c>
      <c r="F404">
        <v>2017</v>
      </c>
      <c r="G404" t="s">
        <v>578</v>
      </c>
      <c r="H404" t="s">
        <v>352</v>
      </c>
      <c r="J404">
        <v>0</v>
      </c>
      <c r="L404">
        <v>1</v>
      </c>
      <c r="M404">
        <v>186</v>
      </c>
      <c r="N404">
        <v>61</v>
      </c>
      <c r="O404" t="s">
        <v>575</v>
      </c>
      <c r="P404" t="s">
        <v>680</v>
      </c>
      <c r="Q404" t="s">
        <v>792</v>
      </c>
      <c r="R404" t="s">
        <v>780</v>
      </c>
      <c r="U404">
        <v>6</v>
      </c>
      <c r="V404">
        <v>6.5</v>
      </c>
      <c r="W404" t="s">
        <v>350</v>
      </c>
      <c r="X404" t="s">
        <v>349</v>
      </c>
      <c r="Y404" t="s">
        <v>580</v>
      </c>
      <c r="Z404">
        <v>2017</v>
      </c>
      <c r="AB404">
        <v>13</v>
      </c>
      <c r="AC404">
        <v>5.55</v>
      </c>
      <c r="AE404" t="s">
        <v>346</v>
      </c>
      <c r="AF404">
        <v>46.142674</v>
      </c>
      <c r="AG404">
        <v>-115.598088</v>
      </c>
      <c r="AH404">
        <v>14573577</v>
      </c>
    </row>
    <row r="405" spans="2:34">
      <c r="B405" t="s">
        <v>345</v>
      </c>
      <c r="C405" t="s">
        <v>779</v>
      </c>
      <c r="D405" s="3">
        <v>42846.400000000001</v>
      </c>
      <c r="F405">
        <v>2017</v>
      </c>
      <c r="G405" t="s">
        <v>578</v>
      </c>
      <c r="H405" t="s">
        <v>352</v>
      </c>
      <c r="J405">
        <v>0</v>
      </c>
      <c r="L405">
        <v>1</v>
      </c>
      <c r="M405">
        <v>150</v>
      </c>
      <c r="N405">
        <v>33</v>
      </c>
      <c r="O405" t="s">
        <v>575</v>
      </c>
      <c r="Q405" t="s">
        <v>793</v>
      </c>
      <c r="R405" t="s">
        <v>780</v>
      </c>
      <c r="U405">
        <v>6</v>
      </c>
      <c r="V405">
        <v>6.5</v>
      </c>
      <c r="W405" t="s">
        <v>350</v>
      </c>
      <c r="X405" t="s">
        <v>349</v>
      </c>
      <c r="Y405" t="s">
        <v>580</v>
      </c>
      <c r="Z405">
        <v>2017</v>
      </c>
      <c r="AB405">
        <v>13</v>
      </c>
      <c r="AC405">
        <v>5.55</v>
      </c>
      <c r="AE405" t="s">
        <v>346</v>
      </c>
      <c r="AF405">
        <v>46.142674</v>
      </c>
      <c r="AG405">
        <v>-115.598088</v>
      </c>
      <c r="AH405">
        <v>14573578</v>
      </c>
    </row>
    <row r="406" spans="2:34">
      <c r="B406" t="s">
        <v>345</v>
      </c>
      <c r="C406" t="s">
        <v>779</v>
      </c>
      <c r="D406" s="3">
        <v>42846.400000000001</v>
      </c>
      <c r="F406">
        <v>2017</v>
      </c>
      <c r="G406" t="s">
        <v>578</v>
      </c>
      <c r="H406" t="s">
        <v>352</v>
      </c>
      <c r="J406">
        <v>0</v>
      </c>
      <c r="L406">
        <v>1</v>
      </c>
      <c r="M406">
        <v>178</v>
      </c>
      <c r="N406">
        <v>58</v>
      </c>
      <c r="O406" t="s">
        <v>575</v>
      </c>
      <c r="Q406" t="s">
        <v>794</v>
      </c>
      <c r="R406" t="s">
        <v>780</v>
      </c>
      <c r="U406">
        <v>6</v>
      </c>
      <c r="V406">
        <v>6.5</v>
      </c>
      <c r="W406" t="s">
        <v>350</v>
      </c>
      <c r="X406" t="s">
        <v>349</v>
      </c>
      <c r="Y406" t="s">
        <v>580</v>
      </c>
      <c r="Z406">
        <v>2017</v>
      </c>
      <c r="AB406">
        <v>13</v>
      </c>
      <c r="AC406">
        <v>5.55</v>
      </c>
      <c r="AE406" t="s">
        <v>346</v>
      </c>
      <c r="AF406">
        <v>46.142674</v>
      </c>
      <c r="AG406">
        <v>-115.598088</v>
      </c>
      <c r="AH406">
        <v>14573579</v>
      </c>
    </row>
    <row r="407" spans="2:34">
      <c r="B407" t="s">
        <v>345</v>
      </c>
      <c r="C407" t="s">
        <v>779</v>
      </c>
      <c r="D407" s="3">
        <v>42846.400000000001</v>
      </c>
      <c r="F407">
        <v>2017</v>
      </c>
      <c r="G407" t="s">
        <v>578</v>
      </c>
      <c r="H407" t="s">
        <v>352</v>
      </c>
      <c r="J407">
        <v>0</v>
      </c>
      <c r="L407">
        <v>1</v>
      </c>
      <c r="M407">
        <v>201</v>
      </c>
      <c r="N407">
        <v>74</v>
      </c>
      <c r="O407" t="s">
        <v>575</v>
      </c>
      <c r="Q407" t="s">
        <v>795</v>
      </c>
      <c r="R407" t="s">
        <v>780</v>
      </c>
      <c r="U407">
        <v>6</v>
      </c>
      <c r="V407">
        <v>6.5</v>
      </c>
      <c r="W407" t="s">
        <v>350</v>
      </c>
      <c r="X407" t="s">
        <v>349</v>
      </c>
      <c r="Y407" t="s">
        <v>580</v>
      </c>
      <c r="Z407">
        <v>2017</v>
      </c>
      <c r="AB407">
        <v>13</v>
      </c>
      <c r="AC407">
        <v>5.55</v>
      </c>
      <c r="AE407" t="s">
        <v>346</v>
      </c>
      <c r="AF407">
        <v>46.142674</v>
      </c>
      <c r="AG407">
        <v>-115.598088</v>
      </c>
      <c r="AH407">
        <v>14573580</v>
      </c>
    </row>
    <row r="408" spans="2:34">
      <c r="B408" t="s">
        <v>345</v>
      </c>
      <c r="C408" t="s">
        <v>779</v>
      </c>
      <c r="D408" s="3">
        <v>42846.400000000001</v>
      </c>
      <c r="F408">
        <v>2017</v>
      </c>
      <c r="G408" t="s">
        <v>578</v>
      </c>
      <c r="H408" t="s">
        <v>352</v>
      </c>
      <c r="J408">
        <v>0</v>
      </c>
      <c r="L408">
        <v>1</v>
      </c>
      <c r="M408">
        <v>183</v>
      </c>
      <c r="N408">
        <v>54</v>
      </c>
      <c r="O408" t="s">
        <v>575</v>
      </c>
      <c r="P408" t="s">
        <v>680</v>
      </c>
      <c r="Q408" t="s">
        <v>796</v>
      </c>
      <c r="R408" t="s">
        <v>780</v>
      </c>
      <c r="U408">
        <v>6</v>
      </c>
      <c r="V408">
        <v>6.5</v>
      </c>
      <c r="W408" t="s">
        <v>350</v>
      </c>
      <c r="X408" t="s">
        <v>349</v>
      </c>
      <c r="Y408" t="s">
        <v>580</v>
      </c>
      <c r="Z408">
        <v>2017</v>
      </c>
      <c r="AB408">
        <v>13</v>
      </c>
      <c r="AC408">
        <v>5.55</v>
      </c>
      <c r="AE408" t="s">
        <v>346</v>
      </c>
      <c r="AF408">
        <v>46.142674</v>
      </c>
      <c r="AG408">
        <v>-115.598088</v>
      </c>
      <c r="AH408">
        <v>14573581</v>
      </c>
    </row>
    <row r="409" spans="2:34">
      <c r="B409" t="s">
        <v>345</v>
      </c>
      <c r="C409" t="s">
        <v>779</v>
      </c>
      <c r="D409" s="3">
        <v>42846.400000000001</v>
      </c>
      <c r="F409">
        <v>2017</v>
      </c>
      <c r="G409" t="s">
        <v>578</v>
      </c>
      <c r="H409" t="s">
        <v>352</v>
      </c>
      <c r="J409">
        <v>0</v>
      </c>
      <c r="L409">
        <v>1</v>
      </c>
      <c r="M409">
        <v>193</v>
      </c>
      <c r="N409">
        <v>60</v>
      </c>
      <c r="O409" t="s">
        <v>575</v>
      </c>
      <c r="Q409" t="s">
        <v>797</v>
      </c>
      <c r="R409" t="s">
        <v>780</v>
      </c>
      <c r="U409">
        <v>6</v>
      </c>
      <c r="V409">
        <v>6.5</v>
      </c>
      <c r="W409" t="s">
        <v>350</v>
      </c>
      <c r="X409" t="s">
        <v>349</v>
      </c>
      <c r="Y409" t="s">
        <v>580</v>
      </c>
      <c r="Z409">
        <v>2017</v>
      </c>
      <c r="AB409">
        <v>13</v>
      </c>
      <c r="AC409">
        <v>5.55</v>
      </c>
      <c r="AE409" t="s">
        <v>346</v>
      </c>
      <c r="AF409">
        <v>46.142674</v>
      </c>
      <c r="AG409">
        <v>-115.598088</v>
      </c>
      <c r="AH409">
        <v>14573582</v>
      </c>
    </row>
    <row r="410" spans="2:34">
      <c r="B410" t="s">
        <v>345</v>
      </c>
      <c r="C410" t="s">
        <v>779</v>
      </c>
      <c r="D410" s="3">
        <v>42846.400000000001</v>
      </c>
      <c r="F410">
        <v>2017</v>
      </c>
      <c r="G410" t="s">
        <v>578</v>
      </c>
      <c r="H410" t="s">
        <v>352</v>
      </c>
      <c r="J410">
        <v>0</v>
      </c>
      <c r="L410">
        <v>1</v>
      </c>
      <c r="M410">
        <v>153</v>
      </c>
      <c r="N410">
        <v>31</v>
      </c>
      <c r="O410" t="s">
        <v>575</v>
      </c>
      <c r="Q410" t="s">
        <v>798</v>
      </c>
      <c r="R410" t="s">
        <v>780</v>
      </c>
      <c r="U410">
        <v>6</v>
      </c>
      <c r="V410">
        <v>6.5</v>
      </c>
      <c r="W410" t="s">
        <v>350</v>
      </c>
      <c r="X410" t="s">
        <v>349</v>
      </c>
      <c r="Y410" t="s">
        <v>580</v>
      </c>
      <c r="Z410">
        <v>2017</v>
      </c>
      <c r="AB410">
        <v>13</v>
      </c>
      <c r="AC410">
        <v>5.55</v>
      </c>
      <c r="AE410" t="s">
        <v>346</v>
      </c>
      <c r="AF410">
        <v>46.142674</v>
      </c>
      <c r="AG410">
        <v>-115.598088</v>
      </c>
      <c r="AH410">
        <v>14573583</v>
      </c>
    </row>
    <row r="411" spans="2:34">
      <c r="B411" t="s">
        <v>345</v>
      </c>
      <c r="C411" t="s">
        <v>799</v>
      </c>
      <c r="D411" s="3">
        <v>42800.642361111109</v>
      </c>
      <c r="F411">
        <v>2017</v>
      </c>
      <c r="G411" t="s">
        <v>578</v>
      </c>
      <c r="H411" t="s">
        <v>352</v>
      </c>
      <c r="J411">
        <v>0</v>
      </c>
      <c r="L411">
        <v>1</v>
      </c>
      <c r="M411">
        <v>1000</v>
      </c>
      <c r="O411" t="s">
        <v>575</v>
      </c>
      <c r="P411" t="s">
        <v>635</v>
      </c>
      <c r="Q411" t="s">
        <v>576</v>
      </c>
      <c r="U411">
        <v>2</v>
      </c>
      <c r="V411">
        <v>0</v>
      </c>
      <c r="W411" t="s">
        <v>350</v>
      </c>
      <c r="X411" t="s">
        <v>349</v>
      </c>
      <c r="Y411" t="s">
        <v>697</v>
      </c>
      <c r="Z411">
        <v>2017</v>
      </c>
      <c r="AE411" t="s">
        <v>346</v>
      </c>
      <c r="AF411">
        <v>46.142674</v>
      </c>
      <c r="AG411">
        <v>-115.598088</v>
      </c>
      <c r="AH411">
        <v>14561931</v>
      </c>
    </row>
    <row r="412" spans="2:34">
      <c r="B412" t="s">
        <v>345</v>
      </c>
      <c r="C412" t="s">
        <v>800</v>
      </c>
      <c r="D412" s="3">
        <v>42870.363194444442</v>
      </c>
      <c r="F412">
        <v>2017</v>
      </c>
      <c r="G412" t="s">
        <v>578</v>
      </c>
      <c r="H412" t="s">
        <v>352</v>
      </c>
      <c r="J412">
        <v>0</v>
      </c>
      <c r="L412">
        <v>1</v>
      </c>
      <c r="M412">
        <v>160</v>
      </c>
      <c r="N412">
        <v>41</v>
      </c>
      <c r="O412" t="s">
        <v>575</v>
      </c>
      <c r="Q412" t="s">
        <v>801</v>
      </c>
      <c r="R412" t="s">
        <v>802</v>
      </c>
      <c r="U412">
        <v>6</v>
      </c>
      <c r="V412">
        <v>6</v>
      </c>
      <c r="W412" t="s">
        <v>350</v>
      </c>
      <c r="X412" t="s">
        <v>349</v>
      </c>
      <c r="Y412" t="s">
        <v>642</v>
      </c>
      <c r="Z412">
        <v>2017</v>
      </c>
      <c r="AB412">
        <v>14</v>
      </c>
      <c r="AC412">
        <v>6.91</v>
      </c>
      <c r="AE412" t="s">
        <v>346</v>
      </c>
      <c r="AF412">
        <v>46.142674</v>
      </c>
      <c r="AG412">
        <v>-115.598088</v>
      </c>
      <c r="AH412">
        <v>14563847</v>
      </c>
    </row>
    <row r="413" spans="2:34">
      <c r="B413" t="s">
        <v>345</v>
      </c>
      <c r="C413" t="s">
        <v>800</v>
      </c>
      <c r="D413" s="3">
        <v>42870.363194444442</v>
      </c>
      <c r="F413">
        <v>2017</v>
      </c>
      <c r="G413" t="s">
        <v>578</v>
      </c>
      <c r="H413" t="s">
        <v>352</v>
      </c>
      <c r="J413">
        <v>0</v>
      </c>
      <c r="L413">
        <v>1</v>
      </c>
      <c r="M413">
        <v>172</v>
      </c>
      <c r="N413">
        <v>48</v>
      </c>
      <c r="O413" t="s">
        <v>575</v>
      </c>
      <c r="Q413" t="s">
        <v>803</v>
      </c>
      <c r="R413" t="s">
        <v>802</v>
      </c>
      <c r="U413">
        <v>6</v>
      </c>
      <c r="V413">
        <v>6</v>
      </c>
      <c r="W413" t="s">
        <v>350</v>
      </c>
      <c r="X413" t="s">
        <v>349</v>
      </c>
      <c r="Y413" t="s">
        <v>642</v>
      </c>
      <c r="Z413">
        <v>2017</v>
      </c>
      <c r="AB413">
        <v>14</v>
      </c>
      <c r="AC413">
        <v>6.91</v>
      </c>
      <c r="AE413" t="s">
        <v>346</v>
      </c>
      <c r="AF413">
        <v>46.142674</v>
      </c>
      <c r="AG413">
        <v>-115.598088</v>
      </c>
      <c r="AH413">
        <v>14563848</v>
      </c>
    </row>
    <row r="414" spans="2:34">
      <c r="B414" t="s">
        <v>345</v>
      </c>
      <c r="C414" t="s">
        <v>800</v>
      </c>
      <c r="D414" s="3">
        <v>42870.363194444442</v>
      </c>
      <c r="F414">
        <v>2017</v>
      </c>
      <c r="G414" t="s">
        <v>578</v>
      </c>
      <c r="H414" t="s">
        <v>352</v>
      </c>
      <c r="J414">
        <v>0</v>
      </c>
      <c r="L414">
        <v>1</v>
      </c>
      <c r="M414">
        <v>195</v>
      </c>
      <c r="N414">
        <v>72</v>
      </c>
      <c r="O414" t="s">
        <v>575</v>
      </c>
      <c r="Q414" t="s">
        <v>804</v>
      </c>
      <c r="R414" t="s">
        <v>802</v>
      </c>
      <c r="U414">
        <v>6</v>
      </c>
      <c r="V414">
        <v>6</v>
      </c>
      <c r="W414" t="s">
        <v>350</v>
      </c>
      <c r="X414" t="s">
        <v>349</v>
      </c>
      <c r="Y414" t="s">
        <v>642</v>
      </c>
      <c r="Z414">
        <v>2017</v>
      </c>
      <c r="AB414">
        <v>14</v>
      </c>
      <c r="AC414">
        <v>6.91</v>
      </c>
      <c r="AE414" t="s">
        <v>346</v>
      </c>
      <c r="AF414">
        <v>46.142674</v>
      </c>
      <c r="AG414">
        <v>-115.598088</v>
      </c>
      <c r="AH414">
        <v>14563849</v>
      </c>
    </row>
    <row r="415" spans="2:34">
      <c r="B415" t="s">
        <v>345</v>
      </c>
      <c r="C415" t="s">
        <v>800</v>
      </c>
      <c r="D415" s="3">
        <v>42870.363194444442</v>
      </c>
      <c r="F415">
        <v>2017</v>
      </c>
      <c r="G415" t="s">
        <v>578</v>
      </c>
      <c r="H415" t="s">
        <v>352</v>
      </c>
      <c r="J415">
        <v>0</v>
      </c>
      <c r="L415">
        <v>1</v>
      </c>
      <c r="M415">
        <v>192</v>
      </c>
      <c r="N415">
        <v>66</v>
      </c>
      <c r="O415" t="s">
        <v>575</v>
      </c>
      <c r="Q415" t="s">
        <v>805</v>
      </c>
      <c r="R415" t="s">
        <v>802</v>
      </c>
      <c r="U415">
        <v>6</v>
      </c>
      <c r="V415">
        <v>6</v>
      </c>
      <c r="W415" t="s">
        <v>350</v>
      </c>
      <c r="X415" t="s">
        <v>349</v>
      </c>
      <c r="Y415" t="s">
        <v>642</v>
      </c>
      <c r="Z415">
        <v>2017</v>
      </c>
      <c r="AB415">
        <v>14</v>
      </c>
      <c r="AC415">
        <v>6.91</v>
      </c>
      <c r="AE415" t="s">
        <v>346</v>
      </c>
      <c r="AF415">
        <v>46.142674</v>
      </c>
      <c r="AG415">
        <v>-115.598088</v>
      </c>
      <c r="AH415">
        <v>14563850</v>
      </c>
    </row>
    <row r="416" spans="2:34">
      <c r="B416" t="s">
        <v>345</v>
      </c>
      <c r="C416" t="s">
        <v>806</v>
      </c>
      <c r="D416" s="3">
        <v>43032.46597222222</v>
      </c>
      <c r="F416">
        <v>2017</v>
      </c>
      <c r="G416" t="s">
        <v>574</v>
      </c>
      <c r="H416" t="s">
        <v>352</v>
      </c>
      <c r="J416">
        <v>0</v>
      </c>
      <c r="L416">
        <v>1</v>
      </c>
      <c r="M416">
        <v>92</v>
      </c>
      <c r="N416">
        <v>9</v>
      </c>
      <c r="O416" t="s">
        <v>575</v>
      </c>
      <c r="Q416" t="s">
        <v>576</v>
      </c>
      <c r="R416" t="s">
        <v>603</v>
      </c>
      <c r="U416">
        <v>7</v>
      </c>
      <c r="V416">
        <v>7</v>
      </c>
      <c r="W416" t="s">
        <v>350</v>
      </c>
      <c r="X416" t="s">
        <v>349</v>
      </c>
      <c r="Y416" t="s">
        <v>348</v>
      </c>
      <c r="Z416">
        <v>2017</v>
      </c>
      <c r="AB416">
        <v>9</v>
      </c>
      <c r="AC416">
        <v>2.66</v>
      </c>
      <c r="AE416" t="s">
        <v>346</v>
      </c>
      <c r="AF416">
        <v>46.142674</v>
      </c>
      <c r="AG416">
        <v>-115.598088</v>
      </c>
      <c r="AH416">
        <v>14598544</v>
      </c>
    </row>
    <row r="417" spans="2:35">
      <c r="B417" t="s">
        <v>345</v>
      </c>
      <c r="C417" t="s">
        <v>806</v>
      </c>
      <c r="D417" s="3">
        <v>43032.46597222222</v>
      </c>
      <c r="F417">
        <v>2017</v>
      </c>
      <c r="G417" t="s">
        <v>578</v>
      </c>
      <c r="H417" t="s">
        <v>352</v>
      </c>
      <c r="J417">
        <v>0</v>
      </c>
      <c r="L417">
        <v>1</v>
      </c>
      <c r="M417">
        <v>173</v>
      </c>
      <c r="N417">
        <v>54</v>
      </c>
      <c r="O417" t="s">
        <v>575</v>
      </c>
      <c r="Q417" t="s">
        <v>807</v>
      </c>
      <c r="R417" t="s">
        <v>603</v>
      </c>
      <c r="U417">
        <v>7</v>
      </c>
      <c r="V417">
        <v>7</v>
      </c>
      <c r="W417" t="s">
        <v>350</v>
      </c>
      <c r="X417" t="s">
        <v>349</v>
      </c>
      <c r="Y417" t="s">
        <v>348</v>
      </c>
      <c r="Z417">
        <v>2017</v>
      </c>
      <c r="AB417">
        <v>9</v>
      </c>
      <c r="AC417">
        <v>2.66</v>
      </c>
      <c r="AE417" t="s">
        <v>346</v>
      </c>
      <c r="AF417">
        <v>46.142674</v>
      </c>
      <c r="AG417">
        <v>-115.598088</v>
      </c>
      <c r="AH417">
        <v>14598545</v>
      </c>
      <c r="AI417">
        <f>17-76591</f>
        <v>-76574</v>
      </c>
    </row>
    <row r="418" spans="2:35">
      <c r="B418" t="s">
        <v>345</v>
      </c>
      <c r="C418" t="s">
        <v>806</v>
      </c>
      <c r="D418" s="3">
        <v>43032.46597222222</v>
      </c>
      <c r="F418">
        <v>2017</v>
      </c>
      <c r="G418" t="s">
        <v>574</v>
      </c>
      <c r="H418" t="s">
        <v>352</v>
      </c>
      <c r="J418">
        <v>0</v>
      </c>
      <c r="L418">
        <v>1</v>
      </c>
      <c r="M418">
        <v>75</v>
      </c>
      <c r="N418">
        <v>5</v>
      </c>
      <c r="O418" t="s">
        <v>575</v>
      </c>
      <c r="Q418" t="s">
        <v>576</v>
      </c>
      <c r="R418" t="s">
        <v>603</v>
      </c>
      <c r="U418">
        <v>7</v>
      </c>
      <c r="V418">
        <v>7</v>
      </c>
      <c r="W418" t="s">
        <v>350</v>
      </c>
      <c r="X418" t="s">
        <v>349</v>
      </c>
      <c r="Y418" t="s">
        <v>348</v>
      </c>
      <c r="Z418">
        <v>2017</v>
      </c>
      <c r="AB418">
        <v>9</v>
      </c>
      <c r="AC418">
        <v>2.66</v>
      </c>
      <c r="AE418" t="s">
        <v>346</v>
      </c>
      <c r="AF418">
        <v>46.142674</v>
      </c>
      <c r="AG418">
        <v>-115.598088</v>
      </c>
      <c r="AH418">
        <v>14598546</v>
      </c>
    </row>
    <row r="419" spans="2:35">
      <c r="B419" t="s">
        <v>345</v>
      </c>
      <c r="C419" t="s">
        <v>806</v>
      </c>
      <c r="D419" s="3">
        <v>43032.46597222222</v>
      </c>
      <c r="F419">
        <v>2017</v>
      </c>
      <c r="G419" t="s">
        <v>578</v>
      </c>
      <c r="H419" t="s">
        <v>352</v>
      </c>
      <c r="J419">
        <v>0</v>
      </c>
      <c r="L419">
        <v>1</v>
      </c>
      <c r="M419">
        <v>136</v>
      </c>
      <c r="N419">
        <v>26</v>
      </c>
      <c r="O419" t="s">
        <v>575</v>
      </c>
      <c r="Q419" t="s">
        <v>576</v>
      </c>
      <c r="R419" t="s">
        <v>603</v>
      </c>
      <c r="U419">
        <v>7</v>
      </c>
      <c r="V419">
        <v>7</v>
      </c>
      <c r="W419" t="s">
        <v>350</v>
      </c>
      <c r="X419" t="s">
        <v>349</v>
      </c>
      <c r="Y419" t="s">
        <v>348</v>
      </c>
      <c r="Z419">
        <v>2017</v>
      </c>
      <c r="AB419">
        <v>9</v>
      </c>
      <c r="AC419">
        <v>2.66</v>
      </c>
      <c r="AE419" t="s">
        <v>346</v>
      </c>
      <c r="AF419">
        <v>46.142674</v>
      </c>
      <c r="AG419">
        <v>-115.598088</v>
      </c>
      <c r="AH419">
        <v>14598547</v>
      </c>
    </row>
    <row r="420" spans="2:35">
      <c r="B420" t="s">
        <v>345</v>
      </c>
      <c r="C420" t="s">
        <v>806</v>
      </c>
      <c r="D420" s="3">
        <v>43032.46597222222</v>
      </c>
      <c r="F420">
        <v>2017</v>
      </c>
      <c r="G420" t="s">
        <v>574</v>
      </c>
      <c r="H420" t="s">
        <v>352</v>
      </c>
      <c r="J420">
        <v>0</v>
      </c>
      <c r="L420">
        <v>1</v>
      </c>
      <c r="M420">
        <v>68</v>
      </c>
      <c r="N420">
        <v>4</v>
      </c>
      <c r="O420" t="s">
        <v>575</v>
      </c>
      <c r="Q420" t="s">
        <v>576</v>
      </c>
      <c r="R420" t="s">
        <v>603</v>
      </c>
      <c r="U420">
        <v>7</v>
      </c>
      <c r="V420">
        <v>7</v>
      </c>
      <c r="W420" t="s">
        <v>350</v>
      </c>
      <c r="X420" t="s">
        <v>349</v>
      </c>
      <c r="Y420" t="s">
        <v>348</v>
      </c>
      <c r="Z420">
        <v>2017</v>
      </c>
      <c r="AB420">
        <v>9</v>
      </c>
      <c r="AC420">
        <v>2.66</v>
      </c>
      <c r="AE420" t="s">
        <v>346</v>
      </c>
      <c r="AF420">
        <v>46.142674</v>
      </c>
      <c r="AG420">
        <v>-115.598088</v>
      </c>
      <c r="AH420">
        <v>14598548</v>
      </c>
    </row>
    <row r="421" spans="2:35">
      <c r="B421" t="s">
        <v>345</v>
      </c>
      <c r="C421" t="s">
        <v>806</v>
      </c>
      <c r="D421" s="3">
        <v>43032.46597222222</v>
      </c>
      <c r="F421">
        <v>2017</v>
      </c>
      <c r="G421" t="s">
        <v>574</v>
      </c>
      <c r="H421" t="s">
        <v>352</v>
      </c>
      <c r="J421">
        <v>0</v>
      </c>
      <c r="L421">
        <v>1</v>
      </c>
      <c r="M421">
        <v>67</v>
      </c>
      <c r="N421">
        <v>4</v>
      </c>
      <c r="O421" t="s">
        <v>575</v>
      </c>
      <c r="Q421" t="s">
        <v>576</v>
      </c>
      <c r="R421" t="s">
        <v>603</v>
      </c>
      <c r="U421">
        <v>7</v>
      </c>
      <c r="V421">
        <v>7</v>
      </c>
      <c r="W421" t="s">
        <v>350</v>
      </c>
      <c r="X421" t="s">
        <v>349</v>
      </c>
      <c r="Y421" t="s">
        <v>348</v>
      </c>
      <c r="Z421">
        <v>2017</v>
      </c>
      <c r="AB421">
        <v>9</v>
      </c>
      <c r="AC421">
        <v>2.66</v>
      </c>
      <c r="AE421" t="s">
        <v>346</v>
      </c>
      <c r="AF421">
        <v>46.142674</v>
      </c>
      <c r="AG421">
        <v>-115.598088</v>
      </c>
      <c r="AH421">
        <v>14598549</v>
      </c>
    </row>
    <row r="422" spans="2:35">
      <c r="B422" t="s">
        <v>345</v>
      </c>
      <c r="C422" t="s">
        <v>806</v>
      </c>
      <c r="D422" s="3">
        <v>43032.46597222222</v>
      </c>
      <c r="F422">
        <v>2017</v>
      </c>
      <c r="G422" t="s">
        <v>574</v>
      </c>
      <c r="H422" t="s">
        <v>352</v>
      </c>
      <c r="J422">
        <v>0</v>
      </c>
      <c r="L422">
        <v>1</v>
      </c>
      <c r="M422">
        <v>95</v>
      </c>
      <c r="N422">
        <v>9</v>
      </c>
      <c r="O422" t="s">
        <v>575</v>
      </c>
      <c r="Q422" t="s">
        <v>576</v>
      </c>
      <c r="R422" t="s">
        <v>603</v>
      </c>
      <c r="U422">
        <v>7</v>
      </c>
      <c r="V422">
        <v>7</v>
      </c>
      <c r="W422" t="s">
        <v>350</v>
      </c>
      <c r="X422" t="s">
        <v>349</v>
      </c>
      <c r="Y422" t="s">
        <v>348</v>
      </c>
      <c r="Z422">
        <v>2017</v>
      </c>
      <c r="AB422">
        <v>9</v>
      </c>
      <c r="AC422">
        <v>2.66</v>
      </c>
      <c r="AE422" t="s">
        <v>346</v>
      </c>
      <c r="AF422">
        <v>46.142674</v>
      </c>
      <c r="AG422">
        <v>-115.598088</v>
      </c>
      <c r="AH422">
        <v>14598550</v>
      </c>
    </row>
    <row r="423" spans="2:35">
      <c r="B423" t="s">
        <v>345</v>
      </c>
      <c r="C423" t="s">
        <v>806</v>
      </c>
      <c r="D423" s="3">
        <v>43032.46597222222</v>
      </c>
      <c r="F423">
        <v>2017</v>
      </c>
      <c r="G423" t="s">
        <v>574</v>
      </c>
      <c r="H423" t="s">
        <v>352</v>
      </c>
      <c r="J423">
        <v>0</v>
      </c>
      <c r="L423">
        <v>1</v>
      </c>
      <c r="M423">
        <v>77</v>
      </c>
      <c r="N423">
        <v>5</v>
      </c>
      <c r="O423" t="s">
        <v>575</v>
      </c>
      <c r="Q423" t="s">
        <v>576</v>
      </c>
      <c r="R423" t="s">
        <v>603</v>
      </c>
      <c r="U423">
        <v>7</v>
      </c>
      <c r="V423">
        <v>7</v>
      </c>
      <c r="W423" t="s">
        <v>350</v>
      </c>
      <c r="X423" t="s">
        <v>349</v>
      </c>
      <c r="Y423" t="s">
        <v>348</v>
      </c>
      <c r="Z423">
        <v>2017</v>
      </c>
      <c r="AB423">
        <v>9</v>
      </c>
      <c r="AC423">
        <v>2.66</v>
      </c>
      <c r="AE423" t="s">
        <v>346</v>
      </c>
      <c r="AF423">
        <v>46.142674</v>
      </c>
      <c r="AG423">
        <v>-115.598088</v>
      </c>
      <c r="AH423">
        <v>14598551</v>
      </c>
    </row>
    <row r="424" spans="2:35">
      <c r="B424" t="s">
        <v>345</v>
      </c>
      <c r="C424" t="s">
        <v>806</v>
      </c>
      <c r="D424" s="3">
        <v>43032.46597222222</v>
      </c>
      <c r="F424">
        <v>2017</v>
      </c>
      <c r="G424" t="s">
        <v>578</v>
      </c>
      <c r="H424" t="s">
        <v>352</v>
      </c>
      <c r="J424">
        <v>0</v>
      </c>
      <c r="L424">
        <v>1</v>
      </c>
      <c r="M424">
        <v>147</v>
      </c>
      <c r="N424">
        <v>29</v>
      </c>
      <c r="O424" t="s">
        <v>575</v>
      </c>
      <c r="Q424" t="s">
        <v>576</v>
      </c>
      <c r="R424" t="s">
        <v>603</v>
      </c>
      <c r="U424">
        <v>7</v>
      </c>
      <c r="V424">
        <v>7</v>
      </c>
      <c r="W424" t="s">
        <v>350</v>
      </c>
      <c r="X424" t="s">
        <v>349</v>
      </c>
      <c r="Y424" t="s">
        <v>348</v>
      </c>
      <c r="Z424">
        <v>2017</v>
      </c>
      <c r="AB424">
        <v>9</v>
      </c>
      <c r="AC424">
        <v>2.66</v>
      </c>
      <c r="AE424" t="s">
        <v>346</v>
      </c>
      <c r="AF424">
        <v>46.142674</v>
      </c>
      <c r="AG424">
        <v>-115.598088</v>
      </c>
      <c r="AH424">
        <v>14598552</v>
      </c>
    </row>
    <row r="425" spans="2:35">
      <c r="B425" t="s">
        <v>345</v>
      </c>
      <c r="C425" t="s">
        <v>806</v>
      </c>
      <c r="D425" s="3">
        <v>43032.46597222222</v>
      </c>
      <c r="F425">
        <v>2017</v>
      </c>
      <c r="G425" t="s">
        <v>574</v>
      </c>
      <c r="H425" t="s">
        <v>352</v>
      </c>
      <c r="J425">
        <v>0</v>
      </c>
      <c r="L425">
        <v>1</v>
      </c>
      <c r="M425">
        <v>75</v>
      </c>
      <c r="N425">
        <v>5</v>
      </c>
      <c r="O425" t="s">
        <v>575</v>
      </c>
      <c r="Q425" t="s">
        <v>576</v>
      </c>
      <c r="R425" t="s">
        <v>603</v>
      </c>
      <c r="U425">
        <v>7</v>
      </c>
      <c r="V425">
        <v>7</v>
      </c>
      <c r="W425" t="s">
        <v>350</v>
      </c>
      <c r="X425" t="s">
        <v>349</v>
      </c>
      <c r="Y425" t="s">
        <v>348</v>
      </c>
      <c r="Z425">
        <v>2017</v>
      </c>
      <c r="AB425">
        <v>9</v>
      </c>
      <c r="AC425">
        <v>2.66</v>
      </c>
      <c r="AE425" t="s">
        <v>346</v>
      </c>
      <c r="AF425">
        <v>46.142674</v>
      </c>
      <c r="AG425">
        <v>-115.598088</v>
      </c>
      <c r="AH425">
        <v>14598553</v>
      </c>
    </row>
    <row r="426" spans="2:35">
      <c r="B426" t="s">
        <v>345</v>
      </c>
      <c r="C426" t="s">
        <v>806</v>
      </c>
      <c r="D426" s="3">
        <v>43032.46597222222</v>
      </c>
      <c r="F426">
        <v>2017</v>
      </c>
      <c r="G426" t="s">
        <v>480</v>
      </c>
      <c r="H426" t="s">
        <v>352</v>
      </c>
      <c r="J426">
        <v>0</v>
      </c>
      <c r="L426">
        <v>1</v>
      </c>
      <c r="M426">
        <v>0</v>
      </c>
      <c r="N426">
        <v>0</v>
      </c>
      <c r="O426" t="s">
        <v>643</v>
      </c>
      <c r="R426" t="s">
        <v>603</v>
      </c>
      <c r="U426">
        <v>7</v>
      </c>
      <c r="V426">
        <v>7</v>
      </c>
      <c r="W426" t="s">
        <v>350</v>
      </c>
      <c r="X426" t="s">
        <v>349</v>
      </c>
      <c r="Y426" t="s">
        <v>348</v>
      </c>
      <c r="Z426">
        <v>2017</v>
      </c>
      <c r="AB426">
        <v>9</v>
      </c>
      <c r="AC426">
        <v>2.66</v>
      </c>
      <c r="AE426" t="s">
        <v>346</v>
      </c>
      <c r="AF426">
        <v>46.142674</v>
      </c>
      <c r="AG426">
        <v>-115.598088</v>
      </c>
      <c r="AH426">
        <v>14598554</v>
      </c>
    </row>
    <row r="427" spans="2:35">
      <c r="B427" t="s">
        <v>345</v>
      </c>
      <c r="C427" t="s">
        <v>806</v>
      </c>
      <c r="D427" s="3">
        <v>43032.46597222222</v>
      </c>
      <c r="F427">
        <v>2017</v>
      </c>
      <c r="G427" t="s">
        <v>602</v>
      </c>
      <c r="H427" t="s">
        <v>352</v>
      </c>
      <c r="J427">
        <v>0</v>
      </c>
      <c r="L427">
        <v>6</v>
      </c>
      <c r="M427">
        <v>0</v>
      </c>
      <c r="N427">
        <v>0</v>
      </c>
      <c r="O427" t="s">
        <v>353</v>
      </c>
      <c r="R427" t="s">
        <v>603</v>
      </c>
      <c r="U427">
        <v>7</v>
      </c>
      <c r="V427">
        <v>7</v>
      </c>
      <c r="W427" t="s">
        <v>350</v>
      </c>
      <c r="X427" t="s">
        <v>349</v>
      </c>
      <c r="Y427" t="s">
        <v>348</v>
      </c>
      <c r="Z427">
        <v>2017</v>
      </c>
      <c r="AB427">
        <v>9</v>
      </c>
      <c r="AC427">
        <v>2.66</v>
      </c>
      <c r="AE427" t="s">
        <v>346</v>
      </c>
      <c r="AF427">
        <v>46.142674</v>
      </c>
      <c r="AG427">
        <v>-115.598088</v>
      </c>
      <c r="AH427">
        <v>14598555</v>
      </c>
    </row>
    <row r="428" spans="2:35">
      <c r="B428" t="s">
        <v>345</v>
      </c>
      <c r="C428" t="s">
        <v>806</v>
      </c>
      <c r="D428" s="3">
        <v>43032.46597222222</v>
      </c>
      <c r="F428">
        <v>2017</v>
      </c>
      <c r="G428" t="s">
        <v>578</v>
      </c>
      <c r="H428" t="s">
        <v>352</v>
      </c>
      <c r="J428">
        <v>0</v>
      </c>
      <c r="L428">
        <v>1</v>
      </c>
      <c r="M428">
        <v>154</v>
      </c>
      <c r="N428">
        <v>34</v>
      </c>
      <c r="O428" t="s">
        <v>575</v>
      </c>
      <c r="Q428" t="s">
        <v>576</v>
      </c>
      <c r="R428" t="s">
        <v>603</v>
      </c>
      <c r="U428">
        <v>7</v>
      </c>
      <c r="V428">
        <v>7</v>
      </c>
      <c r="W428" t="s">
        <v>350</v>
      </c>
      <c r="X428" t="s">
        <v>349</v>
      </c>
      <c r="Y428" t="s">
        <v>348</v>
      </c>
      <c r="Z428">
        <v>2017</v>
      </c>
      <c r="AB428">
        <v>9</v>
      </c>
      <c r="AC428">
        <v>2.66</v>
      </c>
      <c r="AE428" t="s">
        <v>346</v>
      </c>
      <c r="AF428">
        <v>46.142674</v>
      </c>
      <c r="AG428">
        <v>-115.598088</v>
      </c>
      <c r="AH428">
        <v>14598556</v>
      </c>
    </row>
    <row r="429" spans="2:35">
      <c r="B429" t="s">
        <v>345</v>
      </c>
      <c r="C429" t="s">
        <v>806</v>
      </c>
      <c r="D429" s="3">
        <v>43032.46597222222</v>
      </c>
      <c r="F429">
        <v>2017</v>
      </c>
      <c r="G429" t="s">
        <v>574</v>
      </c>
      <c r="H429" t="s">
        <v>352</v>
      </c>
      <c r="J429">
        <v>0</v>
      </c>
      <c r="L429">
        <v>1</v>
      </c>
      <c r="M429">
        <v>94</v>
      </c>
      <c r="N429">
        <v>9</v>
      </c>
      <c r="O429" t="s">
        <v>575</v>
      </c>
      <c r="Q429" t="s">
        <v>576</v>
      </c>
      <c r="R429" t="s">
        <v>603</v>
      </c>
      <c r="U429">
        <v>7</v>
      </c>
      <c r="V429">
        <v>7</v>
      </c>
      <c r="W429" t="s">
        <v>350</v>
      </c>
      <c r="X429" t="s">
        <v>349</v>
      </c>
      <c r="Y429" t="s">
        <v>348</v>
      </c>
      <c r="Z429">
        <v>2017</v>
      </c>
      <c r="AB429">
        <v>9</v>
      </c>
      <c r="AC429">
        <v>2.66</v>
      </c>
      <c r="AE429" t="s">
        <v>346</v>
      </c>
      <c r="AF429">
        <v>46.142674</v>
      </c>
      <c r="AG429">
        <v>-115.598088</v>
      </c>
      <c r="AH429">
        <v>14598557</v>
      </c>
    </row>
    <row r="430" spans="2:35">
      <c r="B430" t="s">
        <v>345</v>
      </c>
      <c r="C430" t="s">
        <v>806</v>
      </c>
      <c r="D430" s="3">
        <v>43032.46597222222</v>
      </c>
      <c r="F430">
        <v>2017</v>
      </c>
      <c r="G430" t="s">
        <v>482</v>
      </c>
      <c r="H430" t="s">
        <v>352</v>
      </c>
      <c r="J430">
        <v>0</v>
      </c>
      <c r="L430">
        <v>2</v>
      </c>
      <c r="M430">
        <v>0</v>
      </c>
      <c r="N430">
        <v>0</v>
      </c>
      <c r="O430" t="s">
        <v>643</v>
      </c>
      <c r="R430" t="s">
        <v>603</v>
      </c>
      <c r="U430">
        <v>7</v>
      </c>
      <c r="V430">
        <v>7</v>
      </c>
      <c r="W430" t="s">
        <v>350</v>
      </c>
      <c r="X430" t="s">
        <v>349</v>
      </c>
      <c r="Y430" t="s">
        <v>348</v>
      </c>
      <c r="Z430">
        <v>2017</v>
      </c>
      <c r="AB430">
        <v>9</v>
      </c>
      <c r="AC430">
        <v>2.66</v>
      </c>
      <c r="AE430" t="s">
        <v>346</v>
      </c>
      <c r="AF430">
        <v>46.142674</v>
      </c>
      <c r="AG430">
        <v>-115.598088</v>
      </c>
      <c r="AH430">
        <v>14598558</v>
      </c>
    </row>
    <row r="431" spans="2:35">
      <c r="B431" t="s">
        <v>345</v>
      </c>
      <c r="C431" t="s">
        <v>806</v>
      </c>
      <c r="D431" s="3">
        <v>43032.46597222222</v>
      </c>
      <c r="F431">
        <v>2017</v>
      </c>
      <c r="G431" t="s">
        <v>574</v>
      </c>
      <c r="H431" t="s">
        <v>352</v>
      </c>
      <c r="J431">
        <v>0</v>
      </c>
      <c r="L431">
        <v>1</v>
      </c>
      <c r="M431">
        <v>70</v>
      </c>
      <c r="N431">
        <v>4</v>
      </c>
      <c r="O431" t="s">
        <v>575</v>
      </c>
      <c r="Q431" t="s">
        <v>576</v>
      </c>
      <c r="R431" t="s">
        <v>603</v>
      </c>
      <c r="U431">
        <v>7</v>
      </c>
      <c r="V431">
        <v>7</v>
      </c>
      <c r="W431" t="s">
        <v>350</v>
      </c>
      <c r="X431" t="s">
        <v>349</v>
      </c>
      <c r="Y431" t="s">
        <v>348</v>
      </c>
      <c r="Z431">
        <v>2017</v>
      </c>
      <c r="AB431">
        <v>9</v>
      </c>
      <c r="AC431">
        <v>2.66</v>
      </c>
      <c r="AE431" t="s">
        <v>346</v>
      </c>
      <c r="AF431">
        <v>46.142674</v>
      </c>
      <c r="AG431">
        <v>-115.598088</v>
      </c>
      <c r="AH431">
        <v>14598559</v>
      </c>
    </row>
    <row r="432" spans="2:35">
      <c r="B432" t="s">
        <v>345</v>
      </c>
      <c r="C432" t="s">
        <v>806</v>
      </c>
      <c r="D432" s="3">
        <v>43032.46597222222</v>
      </c>
      <c r="F432">
        <v>2017</v>
      </c>
      <c r="G432" t="s">
        <v>574</v>
      </c>
      <c r="H432" t="s">
        <v>352</v>
      </c>
      <c r="J432">
        <v>0</v>
      </c>
      <c r="L432">
        <v>1</v>
      </c>
      <c r="M432">
        <v>80</v>
      </c>
      <c r="N432">
        <v>6</v>
      </c>
      <c r="O432" t="s">
        <v>575</v>
      </c>
      <c r="Q432" t="s">
        <v>576</v>
      </c>
      <c r="R432" t="s">
        <v>603</v>
      </c>
      <c r="U432">
        <v>7</v>
      </c>
      <c r="V432">
        <v>7</v>
      </c>
      <c r="W432" t="s">
        <v>350</v>
      </c>
      <c r="X432" t="s">
        <v>349</v>
      </c>
      <c r="Y432" t="s">
        <v>348</v>
      </c>
      <c r="Z432">
        <v>2017</v>
      </c>
      <c r="AB432">
        <v>9</v>
      </c>
      <c r="AC432">
        <v>2.66</v>
      </c>
      <c r="AE432" t="s">
        <v>346</v>
      </c>
      <c r="AF432">
        <v>46.142674</v>
      </c>
      <c r="AG432">
        <v>-115.598088</v>
      </c>
      <c r="AH432">
        <v>14598560</v>
      </c>
    </row>
    <row r="433" spans="2:35">
      <c r="B433" t="s">
        <v>345</v>
      </c>
      <c r="C433" t="s">
        <v>806</v>
      </c>
      <c r="D433" s="3">
        <v>43032.46597222222</v>
      </c>
      <c r="F433">
        <v>2017</v>
      </c>
      <c r="G433" t="s">
        <v>574</v>
      </c>
      <c r="H433" t="s">
        <v>352</v>
      </c>
      <c r="J433">
        <v>0</v>
      </c>
      <c r="L433">
        <v>1</v>
      </c>
      <c r="M433">
        <v>85</v>
      </c>
      <c r="N433">
        <v>7</v>
      </c>
      <c r="O433" t="s">
        <v>575</v>
      </c>
      <c r="Q433" t="s">
        <v>576</v>
      </c>
      <c r="R433" t="s">
        <v>603</v>
      </c>
      <c r="U433">
        <v>7</v>
      </c>
      <c r="V433">
        <v>7</v>
      </c>
      <c r="W433" t="s">
        <v>350</v>
      </c>
      <c r="X433" t="s">
        <v>349</v>
      </c>
      <c r="Y433" t="s">
        <v>348</v>
      </c>
      <c r="Z433">
        <v>2017</v>
      </c>
      <c r="AB433">
        <v>9</v>
      </c>
      <c r="AC433">
        <v>2.66</v>
      </c>
      <c r="AE433" t="s">
        <v>346</v>
      </c>
      <c r="AF433">
        <v>46.142674</v>
      </c>
      <c r="AG433">
        <v>-115.598088</v>
      </c>
      <c r="AH433">
        <v>14598561</v>
      </c>
    </row>
    <row r="434" spans="2:35">
      <c r="B434" t="s">
        <v>345</v>
      </c>
      <c r="C434" t="s">
        <v>806</v>
      </c>
      <c r="D434" s="3">
        <v>43032.46597222222</v>
      </c>
      <c r="F434">
        <v>2017</v>
      </c>
      <c r="G434" t="s">
        <v>574</v>
      </c>
      <c r="H434" t="s">
        <v>352</v>
      </c>
      <c r="J434">
        <v>0</v>
      </c>
      <c r="L434">
        <v>1</v>
      </c>
      <c r="M434">
        <v>80</v>
      </c>
      <c r="N434">
        <v>5</v>
      </c>
      <c r="O434" t="s">
        <v>575</v>
      </c>
      <c r="Q434" t="s">
        <v>576</v>
      </c>
      <c r="R434" t="s">
        <v>603</v>
      </c>
      <c r="U434">
        <v>7</v>
      </c>
      <c r="V434">
        <v>7</v>
      </c>
      <c r="W434" t="s">
        <v>350</v>
      </c>
      <c r="X434" t="s">
        <v>349</v>
      </c>
      <c r="Y434" t="s">
        <v>348</v>
      </c>
      <c r="Z434">
        <v>2017</v>
      </c>
      <c r="AB434">
        <v>9</v>
      </c>
      <c r="AC434">
        <v>2.66</v>
      </c>
      <c r="AE434" t="s">
        <v>346</v>
      </c>
      <c r="AF434">
        <v>46.142674</v>
      </c>
      <c r="AG434">
        <v>-115.598088</v>
      </c>
      <c r="AH434">
        <v>14598562</v>
      </c>
    </row>
    <row r="435" spans="2:35">
      <c r="B435" t="s">
        <v>345</v>
      </c>
      <c r="C435" t="s">
        <v>806</v>
      </c>
      <c r="D435" s="3">
        <v>43032.46597222222</v>
      </c>
      <c r="F435">
        <v>2017</v>
      </c>
      <c r="G435" t="s">
        <v>578</v>
      </c>
      <c r="H435" t="s">
        <v>352</v>
      </c>
      <c r="J435">
        <v>0</v>
      </c>
      <c r="L435">
        <v>1</v>
      </c>
      <c r="M435">
        <v>160</v>
      </c>
      <c r="N435">
        <v>40</v>
      </c>
      <c r="O435" t="s">
        <v>575</v>
      </c>
      <c r="Q435" t="s">
        <v>576</v>
      </c>
      <c r="R435" t="s">
        <v>603</v>
      </c>
      <c r="U435">
        <v>7</v>
      </c>
      <c r="V435">
        <v>7</v>
      </c>
      <c r="W435" t="s">
        <v>350</v>
      </c>
      <c r="X435" t="s">
        <v>349</v>
      </c>
      <c r="Y435" t="s">
        <v>348</v>
      </c>
      <c r="Z435">
        <v>2017</v>
      </c>
      <c r="AB435">
        <v>9</v>
      </c>
      <c r="AC435">
        <v>2.66</v>
      </c>
      <c r="AE435" t="s">
        <v>346</v>
      </c>
      <c r="AF435">
        <v>46.142674</v>
      </c>
      <c r="AG435">
        <v>-115.598088</v>
      </c>
      <c r="AH435">
        <v>14598563</v>
      </c>
    </row>
    <row r="436" spans="2:35">
      <c r="B436" t="s">
        <v>345</v>
      </c>
      <c r="C436" t="s">
        <v>806</v>
      </c>
      <c r="D436" s="3">
        <v>43032.46597222222</v>
      </c>
      <c r="F436">
        <v>2017</v>
      </c>
      <c r="G436" t="s">
        <v>578</v>
      </c>
      <c r="H436" t="s">
        <v>352</v>
      </c>
      <c r="J436">
        <v>0</v>
      </c>
      <c r="L436">
        <v>1</v>
      </c>
      <c r="M436">
        <v>126</v>
      </c>
      <c r="N436">
        <v>21</v>
      </c>
      <c r="O436" t="s">
        <v>575</v>
      </c>
      <c r="Q436" t="s">
        <v>576</v>
      </c>
      <c r="R436" t="s">
        <v>603</v>
      </c>
      <c r="U436">
        <v>7</v>
      </c>
      <c r="V436">
        <v>7</v>
      </c>
      <c r="W436" t="s">
        <v>350</v>
      </c>
      <c r="X436" t="s">
        <v>349</v>
      </c>
      <c r="Y436" t="s">
        <v>348</v>
      </c>
      <c r="Z436">
        <v>2017</v>
      </c>
      <c r="AB436">
        <v>9</v>
      </c>
      <c r="AC436">
        <v>2.66</v>
      </c>
      <c r="AE436" t="s">
        <v>346</v>
      </c>
      <c r="AF436">
        <v>46.142674</v>
      </c>
      <c r="AG436">
        <v>-115.598088</v>
      </c>
      <c r="AH436">
        <v>14598564</v>
      </c>
    </row>
    <row r="437" spans="2:35">
      <c r="B437" t="s">
        <v>345</v>
      </c>
      <c r="C437" t="s">
        <v>806</v>
      </c>
      <c r="D437" s="3">
        <v>43032.46597222222</v>
      </c>
      <c r="F437">
        <v>2017</v>
      </c>
      <c r="G437" t="s">
        <v>574</v>
      </c>
      <c r="H437" t="s">
        <v>352</v>
      </c>
      <c r="J437">
        <v>0</v>
      </c>
      <c r="L437">
        <v>1</v>
      </c>
      <c r="M437">
        <v>80</v>
      </c>
      <c r="N437">
        <v>5</v>
      </c>
      <c r="O437" t="s">
        <v>575</v>
      </c>
      <c r="Q437" t="s">
        <v>576</v>
      </c>
      <c r="R437" t="s">
        <v>603</v>
      </c>
      <c r="U437">
        <v>7</v>
      </c>
      <c r="V437">
        <v>7</v>
      </c>
      <c r="W437" t="s">
        <v>350</v>
      </c>
      <c r="X437" t="s">
        <v>349</v>
      </c>
      <c r="Y437" t="s">
        <v>348</v>
      </c>
      <c r="Z437">
        <v>2017</v>
      </c>
      <c r="AB437">
        <v>9</v>
      </c>
      <c r="AC437">
        <v>2.66</v>
      </c>
      <c r="AE437" t="s">
        <v>346</v>
      </c>
      <c r="AF437">
        <v>46.142674</v>
      </c>
      <c r="AG437">
        <v>-115.598088</v>
      </c>
      <c r="AH437">
        <v>14598565</v>
      </c>
    </row>
    <row r="438" spans="2:35">
      <c r="B438" t="s">
        <v>345</v>
      </c>
      <c r="C438" t="s">
        <v>806</v>
      </c>
      <c r="D438" s="3">
        <v>43032.46597222222</v>
      </c>
      <c r="F438">
        <v>2017</v>
      </c>
      <c r="G438" t="s">
        <v>574</v>
      </c>
      <c r="H438" t="s">
        <v>352</v>
      </c>
      <c r="J438">
        <v>0</v>
      </c>
      <c r="L438">
        <v>1</v>
      </c>
      <c r="M438">
        <v>80</v>
      </c>
      <c r="N438">
        <v>6</v>
      </c>
      <c r="O438" t="s">
        <v>575</v>
      </c>
      <c r="Q438" t="s">
        <v>576</v>
      </c>
      <c r="R438" t="s">
        <v>603</v>
      </c>
      <c r="U438">
        <v>7</v>
      </c>
      <c r="V438">
        <v>7</v>
      </c>
      <c r="W438" t="s">
        <v>350</v>
      </c>
      <c r="X438" t="s">
        <v>349</v>
      </c>
      <c r="Y438" t="s">
        <v>348</v>
      </c>
      <c r="Z438">
        <v>2017</v>
      </c>
      <c r="AB438">
        <v>9</v>
      </c>
      <c r="AC438">
        <v>2.66</v>
      </c>
      <c r="AE438" t="s">
        <v>346</v>
      </c>
      <c r="AF438">
        <v>46.142674</v>
      </c>
      <c r="AG438">
        <v>-115.598088</v>
      </c>
      <c r="AH438">
        <v>14598566</v>
      </c>
    </row>
    <row r="439" spans="2:35">
      <c r="B439" t="s">
        <v>345</v>
      </c>
      <c r="C439" t="s">
        <v>806</v>
      </c>
      <c r="D439" s="3">
        <v>43032.46597222222</v>
      </c>
      <c r="F439">
        <v>2017</v>
      </c>
      <c r="G439" t="s">
        <v>574</v>
      </c>
      <c r="H439" t="s">
        <v>352</v>
      </c>
      <c r="J439">
        <v>0</v>
      </c>
      <c r="L439">
        <v>1</v>
      </c>
      <c r="M439">
        <v>90</v>
      </c>
      <c r="N439">
        <v>9</v>
      </c>
      <c r="O439" t="s">
        <v>575</v>
      </c>
      <c r="Q439" t="s">
        <v>576</v>
      </c>
      <c r="R439" t="s">
        <v>603</v>
      </c>
      <c r="U439">
        <v>7</v>
      </c>
      <c r="V439">
        <v>7</v>
      </c>
      <c r="W439" t="s">
        <v>350</v>
      </c>
      <c r="X439" t="s">
        <v>349</v>
      </c>
      <c r="Y439" t="s">
        <v>348</v>
      </c>
      <c r="Z439">
        <v>2017</v>
      </c>
      <c r="AB439">
        <v>9</v>
      </c>
      <c r="AC439">
        <v>2.66</v>
      </c>
      <c r="AE439" t="s">
        <v>346</v>
      </c>
      <c r="AF439">
        <v>46.142674</v>
      </c>
      <c r="AG439">
        <v>-115.598088</v>
      </c>
      <c r="AH439">
        <v>14598567</v>
      </c>
    </row>
    <row r="440" spans="2:35">
      <c r="B440" t="s">
        <v>345</v>
      </c>
      <c r="C440" t="s">
        <v>806</v>
      </c>
      <c r="D440" s="3">
        <v>43032.46597222222</v>
      </c>
      <c r="F440">
        <v>2017</v>
      </c>
      <c r="G440" t="s">
        <v>578</v>
      </c>
      <c r="H440" t="s">
        <v>352</v>
      </c>
      <c r="J440">
        <v>0</v>
      </c>
      <c r="L440">
        <v>1</v>
      </c>
      <c r="M440">
        <v>152</v>
      </c>
      <c r="N440">
        <v>33</v>
      </c>
      <c r="O440" t="s">
        <v>575</v>
      </c>
      <c r="Q440" t="s">
        <v>808</v>
      </c>
      <c r="R440" t="s">
        <v>603</v>
      </c>
      <c r="U440">
        <v>7</v>
      </c>
      <c r="V440">
        <v>7</v>
      </c>
      <c r="W440" t="s">
        <v>350</v>
      </c>
      <c r="X440" t="s">
        <v>349</v>
      </c>
      <c r="Y440" t="s">
        <v>348</v>
      </c>
      <c r="Z440">
        <v>2017</v>
      </c>
      <c r="AB440">
        <v>9</v>
      </c>
      <c r="AC440">
        <v>2.66</v>
      </c>
      <c r="AE440" t="s">
        <v>346</v>
      </c>
      <c r="AF440">
        <v>46.142674</v>
      </c>
      <c r="AG440">
        <v>-115.598088</v>
      </c>
      <c r="AH440">
        <v>14598568</v>
      </c>
      <c r="AI440">
        <f>17-76590</f>
        <v>-76573</v>
      </c>
    </row>
    <row r="441" spans="2:35">
      <c r="B441" t="s">
        <v>345</v>
      </c>
      <c r="C441" t="s">
        <v>806</v>
      </c>
      <c r="D441" s="3">
        <v>43032.46597222222</v>
      </c>
      <c r="F441">
        <v>2017</v>
      </c>
      <c r="G441" t="s">
        <v>574</v>
      </c>
      <c r="H441" t="s">
        <v>352</v>
      </c>
      <c r="J441">
        <v>0</v>
      </c>
      <c r="L441">
        <v>1</v>
      </c>
      <c r="M441">
        <v>85</v>
      </c>
      <c r="N441">
        <v>6</v>
      </c>
      <c r="O441" t="s">
        <v>575</v>
      </c>
      <c r="Q441" t="s">
        <v>576</v>
      </c>
      <c r="R441" t="s">
        <v>603</v>
      </c>
      <c r="U441">
        <v>7</v>
      </c>
      <c r="V441">
        <v>7</v>
      </c>
      <c r="W441" t="s">
        <v>350</v>
      </c>
      <c r="X441" t="s">
        <v>349</v>
      </c>
      <c r="Y441" t="s">
        <v>348</v>
      </c>
      <c r="Z441">
        <v>2017</v>
      </c>
      <c r="AB441">
        <v>9</v>
      </c>
      <c r="AC441">
        <v>2.66</v>
      </c>
      <c r="AE441" t="s">
        <v>346</v>
      </c>
      <c r="AF441">
        <v>46.142674</v>
      </c>
      <c r="AG441">
        <v>-115.598088</v>
      </c>
      <c r="AH441">
        <v>14598569</v>
      </c>
    </row>
    <row r="442" spans="2:35">
      <c r="B442" t="s">
        <v>345</v>
      </c>
      <c r="C442" t="s">
        <v>806</v>
      </c>
      <c r="D442" s="3">
        <v>43032.46597222222</v>
      </c>
      <c r="F442">
        <v>2017</v>
      </c>
      <c r="G442" t="s">
        <v>574</v>
      </c>
      <c r="H442" t="s">
        <v>352</v>
      </c>
      <c r="J442">
        <v>0</v>
      </c>
      <c r="L442">
        <v>1</v>
      </c>
      <c r="M442">
        <v>75</v>
      </c>
      <c r="N442">
        <v>6</v>
      </c>
      <c r="O442" t="s">
        <v>575</v>
      </c>
      <c r="Q442" t="s">
        <v>576</v>
      </c>
      <c r="R442" t="s">
        <v>603</v>
      </c>
      <c r="U442">
        <v>7</v>
      </c>
      <c r="V442">
        <v>7</v>
      </c>
      <c r="W442" t="s">
        <v>350</v>
      </c>
      <c r="X442" t="s">
        <v>349</v>
      </c>
      <c r="Y442" t="s">
        <v>348</v>
      </c>
      <c r="Z442">
        <v>2017</v>
      </c>
      <c r="AB442">
        <v>9</v>
      </c>
      <c r="AC442">
        <v>2.66</v>
      </c>
      <c r="AE442" t="s">
        <v>346</v>
      </c>
      <c r="AF442">
        <v>46.142674</v>
      </c>
      <c r="AG442">
        <v>-115.598088</v>
      </c>
      <c r="AH442">
        <v>14598570</v>
      </c>
    </row>
    <row r="443" spans="2:35">
      <c r="B443" t="s">
        <v>345</v>
      </c>
      <c r="C443" t="s">
        <v>806</v>
      </c>
      <c r="D443" s="3">
        <v>43032.46597222222</v>
      </c>
      <c r="F443">
        <v>2017</v>
      </c>
      <c r="G443" t="s">
        <v>574</v>
      </c>
      <c r="H443" t="s">
        <v>352</v>
      </c>
      <c r="J443">
        <v>0</v>
      </c>
      <c r="L443">
        <v>1</v>
      </c>
      <c r="M443">
        <v>76</v>
      </c>
      <c r="N443">
        <v>6</v>
      </c>
      <c r="O443" t="s">
        <v>575</v>
      </c>
      <c r="Q443" t="s">
        <v>576</v>
      </c>
      <c r="R443" t="s">
        <v>603</v>
      </c>
      <c r="U443">
        <v>7</v>
      </c>
      <c r="V443">
        <v>7</v>
      </c>
      <c r="W443" t="s">
        <v>350</v>
      </c>
      <c r="X443" t="s">
        <v>349</v>
      </c>
      <c r="Y443" t="s">
        <v>348</v>
      </c>
      <c r="Z443">
        <v>2017</v>
      </c>
      <c r="AB443">
        <v>9</v>
      </c>
      <c r="AC443">
        <v>2.66</v>
      </c>
      <c r="AE443" t="s">
        <v>346</v>
      </c>
      <c r="AF443">
        <v>46.142674</v>
      </c>
      <c r="AG443">
        <v>-115.598088</v>
      </c>
      <c r="AH443">
        <v>14598571</v>
      </c>
    </row>
    <row r="444" spans="2:35">
      <c r="B444" t="s">
        <v>345</v>
      </c>
      <c r="C444" t="s">
        <v>806</v>
      </c>
      <c r="D444" s="3">
        <v>43032.46597222222</v>
      </c>
      <c r="F444">
        <v>2017</v>
      </c>
      <c r="G444" t="s">
        <v>578</v>
      </c>
      <c r="H444" t="s">
        <v>352</v>
      </c>
      <c r="J444">
        <v>0</v>
      </c>
      <c r="L444">
        <v>1</v>
      </c>
      <c r="M444">
        <v>132</v>
      </c>
      <c r="N444">
        <v>24</v>
      </c>
      <c r="O444" t="s">
        <v>634</v>
      </c>
      <c r="P444" t="s">
        <v>635</v>
      </c>
      <c r="Q444" t="s">
        <v>635</v>
      </c>
      <c r="R444" t="s">
        <v>603</v>
      </c>
      <c r="U444">
        <v>7</v>
      </c>
      <c r="V444">
        <v>7</v>
      </c>
      <c r="W444" t="s">
        <v>350</v>
      </c>
      <c r="X444" t="s">
        <v>349</v>
      </c>
      <c r="Y444" t="s">
        <v>348</v>
      </c>
      <c r="Z444">
        <v>2017</v>
      </c>
      <c r="AB444">
        <v>9</v>
      </c>
      <c r="AC444">
        <v>2.66</v>
      </c>
      <c r="AE444" t="s">
        <v>346</v>
      </c>
      <c r="AF444">
        <v>46.142674</v>
      </c>
      <c r="AG444">
        <v>-115.598088</v>
      </c>
      <c r="AH444">
        <v>14598572</v>
      </c>
    </row>
    <row r="445" spans="2:35">
      <c r="B445" t="s">
        <v>345</v>
      </c>
      <c r="C445" t="s">
        <v>806</v>
      </c>
      <c r="D445" s="3">
        <v>43032.46597222222</v>
      </c>
      <c r="F445">
        <v>2017</v>
      </c>
      <c r="G445" t="s">
        <v>574</v>
      </c>
      <c r="H445" t="s">
        <v>352</v>
      </c>
      <c r="J445">
        <v>0</v>
      </c>
      <c r="L445">
        <v>1</v>
      </c>
      <c r="M445">
        <v>81</v>
      </c>
      <c r="N445">
        <v>6</v>
      </c>
      <c r="O445" t="s">
        <v>575</v>
      </c>
      <c r="Q445" t="s">
        <v>576</v>
      </c>
      <c r="R445" t="s">
        <v>603</v>
      </c>
      <c r="U445">
        <v>7</v>
      </c>
      <c r="V445">
        <v>7</v>
      </c>
      <c r="W445" t="s">
        <v>350</v>
      </c>
      <c r="X445" t="s">
        <v>349</v>
      </c>
      <c r="Y445" t="s">
        <v>348</v>
      </c>
      <c r="Z445">
        <v>2017</v>
      </c>
      <c r="AB445">
        <v>9</v>
      </c>
      <c r="AC445">
        <v>2.66</v>
      </c>
      <c r="AE445" t="s">
        <v>346</v>
      </c>
      <c r="AF445">
        <v>46.142674</v>
      </c>
      <c r="AG445">
        <v>-115.598088</v>
      </c>
      <c r="AH445">
        <v>14598573</v>
      </c>
    </row>
    <row r="446" spans="2:35">
      <c r="B446" t="s">
        <v>345</v>
      </c>
      <c r="C446" t="s">
        <v>806</v>
      </c>
      <c r="D446" s="3">
        <v>43032.46597222222</v>
      </c>
      <c r="F446">
        <v>2017</v>
      </c>
      <c r="G446" t="s">
        <v>578</v>
      </c>
      <c r="H446" t="s">
        <v>352</v>
      </c>
      <c r="J446">
        <v>0</v>
      </c>
      <c r="L446">
        <v>1</v>
      </c>
      <c r="M446">
        <v>135</v>
      </c>
      <c r="N446">
        <v>22</v>
      </c>
      <c r="O446" t="s">
        <v>575</v>
      </c>
      <c r="Q446" t="s">
        <v>809</v>
      </c>
      <c r="R446" t="s">
        <v>603</v>
      </c>
      <c r="U446">
        <v>7</v>
      </c>
      <c r="V446">
        <v>7</v>
      </c>
      <c r="W446" t="s">
        <v>350</v>
      </c>
      <c r="X446" t="s">
        <v>349</v>
      </c>
      <c r="Y446" t="s">
        <v>348</v>
      </c>
      <c r="Z446">
        <v>2017</v>
      </c>
      <c r="AB446">
        <v>9</v>
      </c>
      <c r="AC446">
        <v>2.66</v>
      </c>
      <c r="AE446" t="s">
        <v>346</v>
      </c>
      <c r="AF446">
        <v>46.142674</v>
      </c>
      <c r="AG446">
        <v>-115.598088</v>
      </c>
      <c r="AH446">
        <v>14598574</v>
      </c>
      <c r="AI446">
        <f>17-76589</f>
        <v>-76572</v>
      </c>
    </row>
    <row r="447" spans="2:35">
      <c r="B447" t="s">
        <v>345</v>
      </c>
      <c r="C447" t="s">
        <v>806</v>
      </c>
      <c r="D447" s="3">
        <v>43032.46597222222</v>
      </c>
      <c r="F447">
        <v>2017</v>
      </c>
      <c r="G447" t="s">
        <v>574</v>
      </c>
      <c r="H447" t="s">
        <v>352</v>
      </c>
      <c r="J447">
        <v>0</v>
      </c>
      <c r="L447">
        <v>1</v>
      </c>
      <c r="M447">
        <v>70</v>
      </c>
      <c r="N447">
        <v>5</v>
      </c>
      <c r="O447" t="s">
        <v>575</v>
      </c>
      <c r="Q447" t="s">
        <v>576</v>
      </c>
      <c r="R447" t="s">
        <v>603</v>
      </c>
      <c r="U447">
        <v>7</v>
      </c>
      <c r="V447">
        <v>7</v>
      </c>
      <c r="W447" t="s">
        <v>350</v>
      </c>
      <c r="X447" t="s">
        <v>349</v>
      </c>
      <c r="Y447" t="s">
        <v>348</v>
      </c>
      <c r="Z447">
        <v>2017</v>
      </c>
      <c r="AB447">
        <v>9</v>
      </c>
      <c r="AC447">
        <v>2.66</v>
      </c>
      <c r="AE447" t="s">
        <v>346</v>
      </c>
      <c r="AF447">
        <v>46.142674</v>
      </c>
      <c r="AG447">
        <v>-115.598088</v>
      </c>
      <c r="AH447">
        <v>14598575</v>
      </c>
    </row>
    <row r="448" spans="2:35">
      <c r="B448" t="s">
        <v>345</v>
      </c>
      <c r="C448" t="s">
        <v>806</v>
      </c>
      <c r="D448" s="3">
        <v>43032.46597222222</v>
      </c>
      <c r="F448">
        <v>2017</v>
      </c>
      <c r="G448" t="s">
        <v>578</v>
      </c>
      <c r="H448" t="s">
        <v>352</v>
      </c>
      <c r="J448">
        <v>0</v>
      </c>
      <c r="L448">
        <v>1</v>
      </c>
      <c r="M448">
        <v>159</v>
      </c>
      <c r="N448">
        <v>37</v>
      </c>
      <c r="O448" t="s">
        <v>634</v>
      </c>
      <c r="P448" t="s">
        <v>635</v>
      </c>
      <c r="Q448" t="s">
        <v>635</v>
      </c>
      <c r="R448" t="s">
        <v>603</v>
      </c>
      <c r="U448">
        <v>7</v>
      </c>
      <c r="V448">
        <v>7</v>
      </c>
      <c r="W448" t="s">
        <v>350</v>
      </c>
      <c r="X448" t="s">
        <v>349</v>
      </c>
      <c r="Y448" t="s">
        <v>348</v>
      </c>
      <c r="Z448">
        <v>2017</v>
      </c>
      <c r="AB448">
        <v>9</v>
      </c>
      <c r="AC448">
        <v>2.66</v>
      </c>
      <c r="AE448" t="s">
        <v>346</v>
      </c>
      <c r="AF448">
        <v>46.142674</v>
      </c>
      <c r="AG448">
        <v>-115.598088</v>
      </c>
      <c r="AH448">
        <v>14598576</v>
      </c>
    </row>
    <row r="449" spans="2:34">
      <c r="B449" t="s">
        <v>345</v>
      </c>
      <c r="C449" t="s">
        <v>806</v>
      </c>
      <c r="D449" s="3">
        <v>43032.46597222222</v>
      </c>
      <c r="F449">
        <v>2017</v>
      </c>
      <c r="G449" t="s">
        <v>578</v>
      </c>
      <c r="H449" t="s">
        <v>352</v>
      </c>
      <c r="J449">
        <v>0</v>
      </c>
      <c r="L449">
        <v>1</v>
      </c>
      <c r="M449">
        <v>135</v>
      </c>
      <c r="N449">
        <v>28</v>
      </c>
      <c r="O449" t="s">
        <v>575</v>
      </c>
      <c r="Q449" t="s">
        <v>576</v>
      </c>
      <c r="R449" t="s">
        <v>603</v>
      </c>
      <c r="U449">
        <v>7</v>
      </c>
      <c r="V449">
        <v>7</v>
      </c>
      <c r="W449" t="s">
        <v>350</v>
      </c>
      <c r="X449" t="s">
        <v>349</v>
      </c>
      <c r="Y449" t="s">
        <v>348</v>
      </c>
      <c r="Z449">
        <v>2017</v>
      </c>
      <c r="AB449">
        <v>9</v>
      </c>
      <c r="AC449">
        <v>2.66</v>
      </c>
      <c r="AE449" t="s">
        <v>346</v>
      </c>
      <c r="AF449">
        <v>46.142674</v>
      </c>
      <c r="AG449">
        <v>-115.598088</v>
      </c>
      <c r="AH449">
        <v>14598577</v>
      </c>
    </row>
    <row r="450" spans="2:34">
      <c r="B450" t="s">
        <v>345</v>
      </c>
      <c r="C450" t="s">
        <v>806</v>
      </c>
      <c r="D450" s="3">
        <v>43032.46597222222</v>
      </c>
      <c r="F450">
        <v>2017</v>
      </c>
      <c r="G450" t="s">
        <v>574</v>
      </c>
      <c r="H450" t="s">
        <v>352</v>
      </c>
      <c r="J450">
        <v>0</v>
      </c>
      <c r="L450">
        <v>1</v>
      </c>
      <c r="M450">
        <v>77</v>
      </c>
      <c r="N450">
        <v>6</v>
      </c>
      <c r="O450" t="s">
        <v>575</v>
      </c>
      <c r="Q450" t="s">
        <v>576</v>
      </c>
      <c r="R450" t="s">
        <v>603</v>
      </c>
      <c r="U450">
        <v>7</v>
      </c>
      <c r="V450">
        <v>7</v>
      </c>
      <c r="W450" t="s">
        <v>350</v>
      </c>
      <c r="X450" t="s">
        <v>349</v>
      </c>
      <c r="Y450" t="s">
        <v>348</v>
      </c>
      <c r="Z450">
        <v>2017</v>
      </c>
      <c r="AB450">
        <v>9</v>
      </c>
      <c r="AC450">
        <v>2.66</v>
      </c>
      <c r="AE450" t="s">
        <v>346</v>
      </c>
      <c r="AF450">
        <v>46.142674</v>
      </c>
      <c r="AG450">
        <v>-115.598088</v>
      </c>
      <c r="AH450">
        <v>14598578</v>
      </c>
    </row>
    <row r="451" spans="2:34">
      <c r="B451" t="s">
        <v>345</v>
      </c>
      <c r="C451" t="s">
        <v>806</v>
      </c>
      <c r="D451" s="3">
        <v>43032.46597222222</v>
      </c>
      <c r="F451">
        <v>2017</v>
      </c>
      <c r="G451" t="s">
        <v>604</v>
      </c>
      <c r="H451" t="s">
        <v>352</v>
      </c>
      <c r="J451">
        <v>0</v>
      </c>
      <c r="L451">
        <v>1</v>
      </c>
      <c r="M451">
        <v>0</v>
      </c>
      <c r="N451">
        <v>0</v>
      </c>
      <c r="O451" t="s">
        <v>353</v>
      </c>
      <c r="R451" t="s">
        <v>603</v>
      </c>
      <c r="U451">
        <v>7</v>
      </c>
      <c r="V451">
        <v>7</v>
      </c>
      <c r="W451" t="s">
        <v>350</v>
      </c>
      <c r="X451" t="s">
        <v>349</v>
      </c>
      <c r="Y451" t="s">
        <v>348</v>
      </c>
      <c r="Z451">
        <v>2017</v>
      </c>
      <c r="AB451">
        <v>9</v>
      </c>
      <c r="AC451">
        <v>2.66</v>
      </c>
      <c r="AE451" t="s">
        <v>346</v>
      </c>
      <c r="AF451">
        <v>46.142674</v>
      </c>
      <c r="AG451">
        <v>-115.598088</v>
      </c>
      <c r="AH451">
        <v>14598579</v>
      </c>
    </row>
    <row r="452" spans="2:34">
      <c r="B452" t="s">
        <v>345</v>
      </c>
      <c r="C452" t="s">
        <v>806</v>
      </c>
      <c r="D452" s="3">
        <v>43032.46597222222</v>
      </c>
      <c r="F452">
        <v>2017</v>
      </c>
      <c r="G452" t="s">
        <v>574</v>
      </c>
      <c r="H452" t="s">
        <v>352</v>
      </c>
      <c r="J452">
        <v>0</v>
      </c>
      <c r="L452">
        <v>1</v>
      </c>
      <c r="M452">
        <v>76</v>
      </c>
      <c r="N452">
        <v>6</v>
      </c>
      <c r="O452" t="s">
        <v>575</v>
      </c>
      <c r="Q452" t="s">
        <v>576</v>
      </c>
      <c r="R452" t="s">
        <v>603</v>
      </c>
      <c r="U452">
        <v>7</v>
      </c>
      <c r="V452">
        <v>7</v>
      </c>
      <c r="W452" t="s">
        <v>350</v>
      </c>
      <c r="X452" t="s">
        <v>349</v>
      </c>
      <c r="Y452" t="s">
        <v>348</v>
      </c>
      <c r="Z452">
        <v>2017</v>
      </c>
      <c r="AB452">
        <v>9</v>
      </c>
      <c r="AC452">
        <v>2.66</v>
      </c>
      <c r="AE452" t="s">
        <v>346</v>
      </c>
      <c r="AF452">
        <v>46.142674</v>
      </c>
      <c r="AG452">
        <v>-115.598088</v>
      </c>
      <c r="AH452">
        <v>14598580</v>
      </c>
    </row>
    <row r="453" spans="2:34">
      <c r="B453" t="s">
        <v>345</v>
      </c>
      <c r="C453" t="s">
        <v>806</v>
      </c>
      <c r="D453" s="3">
        <v>43032.46597222222</v>
      </c>
      <c r="F453">
        <v>2017</v>
      </c>
      <c r="G453" t="s">
        <v>574</v>
      </c>
      <c r="H453" t="s">
        <v>352</v>
      </c>
      <c r="J453">
        <v>0</v>
      </c>
      <c r="L453">
        <v>1</v>
      </c>
      <c r="M453">
        <v>86</v>
      </c>
      <c r="N453">
        <v>7</v>
      </c>
      <c r="O453" t="s">
        <v>575</v>
      </c>
      <c r="Q453" t="s">
        <v>576</v>
      </c>
      <c r="R453" t="s">
        <v>603</v>
      </c>
      <c r="U453">
        <v>7</v>
      </c>
      <c r="V453">
        <v>7</v>
      </c>
      <c r="W453" t="s">
        <v>350</v>
      </c>
      <c r="X453" t="s">
        <v>349</v>
      </c>
      <c r="Y453" t="s">
        <v>348</v>
      </c>
      <c r="Z453">
        <v>2017</v>
      </c>
      <c r="AB453">
        <v>9</v>
      </c>
      <c r="AC453">
        <v>2.66</v>
      </c>
      <c r="AE453" t="s">
        <v>346</v>
      </c>
      <c r="AF453">
        <v>46.142674</v>
      </c>
      <c r="AG453">
        <v>-115.598088</v>
      </c>
      <c r="AH453">
        <v>14598581</v>
      </c>
    </row>
    <row r="454" spans="2:34">
      <c r="B454" t="s">
        <v>345</v>
      </c>
      <c r="C454" t="s">
        <v>806</v>
      </c>
      <c r="D454" s="3">
        <v>43032.46597222222</v>
      </c>
      <c r="F454">
        <v>2017</v>
      </c>
      <c r="G454" t="s">
        <v>574</v>
      </c>
      <c r="H454" t="s">
        <v>352</v>
      </c>
      <c r="J454">
        <v>0</v>
      </c>
      <c r="L454">
        <v>1</v>
      </c>
      <c r="M454">
        <v>85</v>
      </c>
      <c r="N454">
        <v>7</v>
      </c>
      <c r="O454" t="s">
        <v>575</v>
      </c>
      <c r="Q454" t="s">
        <v>576</v>
      </c>
      <c r="R454" t="s">
        <v>603</v>
      </c>
      <c r="U454">
        <v>7</v>
      </c>
      <c r="V454">
        <v>7</v>
      </c>
      <c r="W454" t="s">
        <v>350</v>
      </c>
      <c r="X454" t="s">
        <v>349</v>
      </c>
      <c r="Y454" t="s">
        <v>348</v>
      </c>
      <c r="Z454">
        <v>2017</v>
      </c>
      <c r="AB454">
        <v>9</v>
      </c>
      <c r="AC454">
        <v>2.66</v>
      </c>
      <c r="AE454" t="s">
        <v>346</v>
      </c>
      <c r="AF454">
        <v>46.142674</v>
      </c>
      <c r="AG454">
        <v>-115.598088</v>
      </c>
      <c r="AH454">
        <v>14598582</v>
      </c>
    </row>
    <row r="455" spans="2:34">
      <c r="B455" t="s">
        <v>345</v>
      </c>
      <c r="C455" t="s">
        <v>810</v>
      </c>
      <c r="D455" s="3">
        <v>42967.434027777781</v>
      </c>
      <c r="F455">
        <v>2017</v>
      </c>
      <c r="G455" t="s">
        <v>480</v>
      </c>
      <c r="H455" t="s">
        <v>352</v>
      </c>
      <c r="J455">
        <v>0</v>
      </c>
      <c r="L455">
        <v>2</v>
      </c>
      <c r="M455">
        <v>0</v>
      </c>
      <c r="N455">
        <v>0</v>
      </c>
      <c r="O455" t="s">
        <v>643</v>
      </c>
      <c r="R455" t="s">
        <v>811</v>
      </c>
      <c r="U455">
        <v>25</v>
      </c>
      <c r="V455">
        <v>25</v>
      </c>
      <c r="W455" t="s">
        <v>350</v>
      </c>
      <c r="X455" t="s">
        <v>349</v>
      </c>
      <c r="Y455" t="s">
        <v>642</v>
      </c>
      <c r="Z455">
        <v>2017</v>
      </c>
      <c r="AB455">
        <v>6</v>
      </c>
      <c r="AC455">
        <v>1.92</v>
      </c>
      <c r="AE455" t="s">
        <v>346</v>
      </c>
      <c r="AF455">
        <v>46.142674</v>
      </c>
      <c r="AG455">
        <v>-115.598088</v>
      </c>
      <c r="AH455">
        <v>14599374</v>
      </c>
    </row>
    <row r="456" spans="2:34">
      <c r="B456" t="s">
        <v>345</v>
      </c>
      <c r="C456" t="s">
        <v>810</v>
      </c>
      <c r="D456" s="3">
        <v>42967.434027777781</v>
      </c>
      <c r="F456">
        <v>2017</v>
      </c>
      <c r="G456" t="s">
        <v>602</v>
      </c>
      <c r="H456" t="s">
        <v>352</v>
      </c>
      <c r="J456">
        <v>0</v>
      </c>
      <c r="L456">
        <v>1</v>
      </c>
      <c r="M456">
        <v>0</v>
      </c>
      <c r="N456">
        <v>0</v>
      </c>
      <c r="O456" t="s">
        <v>643</v>
      </c>
      <c r="R456" t="s">
        <v>811</v>
      </c>
      <c r="U456">
        <v>25</v>
      </c>
      <c r="V456">
        <v>25</v>
      </c>
      <c r="W456" t="s">
        <v>350</v>
      </c>
      <c r="X456" t="s">
        <v>349</v>
      </c>
      <c r="Y456" t="s">
        <v>642</v>
      </c>
      <c r="Z456">
        <v>2017</v>
      </c>
      <c r="AB456">
        <v>6</v>
      </c>
      <c r="AC456">
        <v>1.92</v>
      </c>
      <c r="AE456" t="s">
        <v>346</v>
      </c>
      <c r="AF456">
        <v>46.142674</v>
      </c>
      <c r="AG456">
        <v>-115.598088</v>
      </c>
      <c r="AH456">
        <v>14599375</v>
      </c>
    </row>
    <row r="457" spans="2:34">
      <c r="B457" t="s">
        <v>345</v>
      </c>
      <c r="C457" t="s">
        <v>810</v>
      </c>
      <c r="D457" s="3">
        <v>42967.434027777781</v>
      </c>
      <c r="F457">
        <v>2017</v>
      </c>
      <c r="G457" t="s">
        <v>605</v>
      </c>
      <c r="H457" t="s">
        <v>352</v>
      </c>
      <c r="J457">
        <v>0</v>
      </c>
      <c r="L457">
        <v>40</v>
      </c>
      <c r="M457">
        <v>0</v>
      </c>
      <c r="N457">
        <v>0</v>
      </c>
      <c r="O457" t="s">
        <v>606</v>
      </c>
      <c r="R457" t="s">
        <v>811</v>
      </c>
      <c r="U457">
        <v>25</v>
      </c>
      <c r="V457">
        <v>25</v>
      </c>
      <c r="W457" t="s">
        <v>350</v>
      </c>
      <c r="X457" t="s">
        <v>349</v>
      </c>
      <c r="Y457" t="s">
        <v>642</v>
      </c>
      <c r="Z457">
        <v>2017</v>
      </c>
      <c r="AB457">
        <v>6</v>
      </c>
      <c r="AC457">
        <v>1.92</v>
      </c>
      <c r="AE457" t="s">
        <v>346</v>
      </c>
      <c r="AF457">
        <v>46.142674</v>
      </c>
      <c r="AG457">
        <v>-115.598088</v>
      </c>
      <c r="AH457">
        <v>14599376</v>
      </c>
    </row>
    <row r="458" spans="2:34">
      <c r="B458" t="s">
        <v>345</v>
      </c>
      <c r="C458" t="s">
        <v>812</v>
      </c>
      <c r="D458" s="3">
        <v>42936.295138888891</v>
      </c>
      <c r="F458">
        <v>2017</v>
      </c>
      <c r="G458" t="s">
        <v>602</v>
      </c>
      <c r="H458" t="s">
        <v>352</v>
      </c>
      <c r="J458">
        <v>0</v>
      </c>
      <c r="L458">
        <v>1</v>
      </c>
      <c r="O458" t="s">
        <v>643</v>
      </c>
      <c r="U458">
        <v>25</v>
      </c>
      <c r="V458">
        <v>18</v>
      </c>
      <c r="W458" t="s">
        <v>350</v>
      </c>
      <c r="X458" t="s">
        <v>349</v>
      </c>
      <c r="Y458" t="s">
        <v>813</v>
      </c>
      <c r="Z458">
        <v>2017</v>
      </c>
      <c r="AB458">
        <v>10</v>
      </c>
      <c r="AC458">
        <v>2.4</v>
      </c>
      <c r="AE458" t="s">
        <v>346</v>
      </c>
      <c r="AF458">
        <v>46.142674</v>
      </c>
      <c r="AG458">
        <v>-115.598088</v>
      </c>
      <c r="AH458">
        <v>14600512</v>
      </c>
    </row>
    <row r="459" spans="2:34">
      <c r="B459" t="s">
        <v>345</v>
      </c>
      <c r="C459" t="s">
        <v>812</v>
      </c>
      <c r="D459" s="3">
        <v>42936.295138888891</v>
      </c>
      <c r="F459">
        <v>2017</v>
      </c>
      <c r="G459" t="s">
        <v>574</v>
      </c>
      <c r="H459" t="s">
        <v>352</v>
      </c>
      <c r="J459">
        <v>0</v>
      </c>
      <c r="L459">
        <v>1</v>
      </c>
      <c r="M459">
        <v>0</v>
      </c>
      <c r="N459">
        <v>0</v>
      </c>
      <c r="O459" t="s">
        <v>773</v>
      </c>
      <c r="U459">
        <v>25</v>
      </c>
      <c r="V459">
        <v>18</v>
      </c>
      <c r="W459" t="s">
        <v>350</v>
      </c>
      <c r="X459" t="s">
        <v>349</v>
      </c>
      <c r="Y459" t="s">
        <v>813</v>
      </c>
      <c r="Z459">
        <v>2017</v>
      </c>
      <c r="AB459">
        <v>10</v>
      </c>
      <c r="AC459">
        <v>2.4</v>
      </c>
      <c r="AE459" t="s">
        <v>346</v>
      </c>
      <c r="AF459">
        <v>46.142674</v>
      </c>
      <c r="AG459">
        <v>-115.598088</v>
      </c>
      <c r="AH459">
        <v>14600513</v>
      </c>
    </row>
    <row r="460" spans="2:34">
      <c r="B460" t="s">
        <v>345</v>
      </c>
      <c r="C460" t="s">
        <v>779</v>
      </c>
      <c r="D460" s="3">
        <v>42846.400000000001</v>
      </c>
      <c r="F460">
        <v>2017</v>
      </c>
      <c r="G460" t="s">
        <v>578</v>
      </c>
      <c r="H460" t="s">
        <v>352</v>
      </c>
      <c r="J460">
        <v>0</v>
      </c>
      <c r="L460">
        <v>1</v>
      </c>
      <c r="M460">
        <v>199</v>
      </c>
      <c r="N460">
        <v>57</v>
      </c>
      <c r="O460" t="s">
        <v>575</v>
      </c>
      <c r="Q460" t="s">
        <v>814</v>
      </c>
      <c r="R460" t="s">
        <v>780</v>
      </c>
      <c r="U460">
        <v>6</v>
      </c>
      <c r="V460">
        <v>6.5</v>
      </c>
      <c r="W460" t="s">
        <v>350</v>
      </c>
      <c r="X460" t="s">
        <v>349</v>
      </c>
      <c r="Y460" t="s">
        <v>580</v>
      </c>
      <c r="Z460">
        <v>2017</v>
      </c>
      <c r="AB460">
        <v>13</v>
      </c>
      <c r="AC460">
        <v>5.55</v>
      </c>
      <c r="AE460" t="s">
        <v>346</v>
      </c>
      <c r="AF460">
        <v>46.142674</v>
      </c>
      <c r="AG460">
        <v>-115.598088</v>
      </c>
      <c r="AH460">
        <v>14573584</v>
      </c>
    </row>
    <row r="461" spans="2:34">
      <c r="B461" t="s">
        <v>345</v>
      </c>
      <c r="C461" t="s">
        <v>779</v>
      </c>
      <c r="D461" s="3">
        <v>42846.400000000001</v>
      </c>
      <c r="F461">
        <v>2017</v>
      </c>
      <c r="G461" t="s">
        <v>578</v>
      </c>
      <c r="H461" t="s">
        <v>352</v>
      </c>
      <c r="J461">
        <v>0</v>
      </c>
      <c r="L461">
        <v>1</v>
      </c>
      <c r="M461">
        <v>201</v>
      </c>
      <c r="N461">
        <v>70</v>
      </c>
      <c r="O461" t="s">
        <v>575</v>
      </c>
      <c r="Q461" t="s">
        <v>815</v>
      </c>
      <c r="R461" t="s">
        <v>780</v>
      </c>
      <c r="U461">
        <v>6</v>
      </c>
      <c r="V461">
        <v>6.5</v>
      </c>
      <c r="W461" t="s">
        <v>350</v>
      </c>
      <c r="X461" t="s">
        <v>349</v>
      </c>
      <c r="Y461" t="s">
        <v>580</v>
      </c>
      <c r="Z461">
        <v>2017</v>
      </c>
      <c r="AB461">
        <v>13</v>
      </c>
      <c r="AC461">
        <v>5.55</v>
      </c>
      <c r="AE461" t="s">
        <v>346</v>
      </c>
      <c r="AF461">
        <v>46.142674</v>
      </c>
      <c r="AG461">
        <v>-115.598088</v>
      </c>
      <c r="AH461">
        <v>14573585</v>
      </c>
    </row>
    <row r="462" spans="2:34">
      <c r="B462" t="s">
        <v>345</v>
      </c>
      <c r="C462" t="s">
        <v>779</v>
      </c>
      <c r="D462" s="3">
        <v>42846.400000000001</v>
      </c>
      <c r="F462">
        <v>2017</v>
      </c>
      <c r="G462" t="s">
        <v>578</v>
      </c>
      <c r="H462" t="s">
        <v>352</v>
      </c>
      <c r="J462">
        <v>0</v>
      </c>
      <c r="L462">
        <v>1</v>
      </c>
      <c r="M462">
        <v>204</v>
      </c>
      <c r="N462">
        <v>74</v>
      </c>
      <c r="O462" t="s">
        <v>575</v>
      </c>
      <c r="Q462" t="s">
        <v>816</v>
      </c>
      <c r="R462" t="s">
        <v>780</v>
      </c>
      <c r="U462">
        <v>6</v>
      </c>
      <c r="V462">
        <v>6.5</v>
      </c>
      <c r="W462" t="s">
        <v>350</v>
      </c>
      <c r="X462" t="s">
        <v>349</v>
      </c>
      <c r="Y462" t="s">
        <v>580</v>
      </c>
      <c r="Z462">
        <v>2017</v>
      </c>
      <c r="AB462">
        <v>13</v>
      </c>
      <c r="AC462">
        <v>5.55</v>
      </c>
      <c r="AE462" t="s">
        <v>346</v>
      </c>
      <c r="AF462">
        <v>46.142674</v>
      </c>
      <c r="AG462">
        <v>-115.598088</v>
      </c>
      <c r="AH462">
        <v>14573586</v>
      </c>
    </row>
    <row r="463" spans="2:34">
      <c r="B463" t="s">
        <v>345</v>
      </c>
      <c r="C463" t="s">
        <v>779</v>
      </c>
      <c r="D463" s="3">
        <v>42846.400000000001</v>
      </c>
      <c r="F463">
        <v>2017</v>
      </c>
      <c r="G463" t="s">
        <v>578</v>
      </c>
      <c r="H463" t="s">
        <v>352</v>
      </c>
      <c r="J463">
        <v>0</v>
      </c>
      <c r="L463">
        <v>1</v>
      </c>
      <c r="M463">
        <v>200</v>
      </c>
      <c r="N463">
        <v>64</v>
      </c>
      <c r="O463" t="s">
        <v>575</v>
      </c>
      <c r="Q463" t="s">
        <v>817</v>
      </c>
      <c r="R463" t="s">
        <v>780</v>
      </c>
      <c r="U463">
        <v>6</v>
      </c>
      <c r="V463">
        <v>6.5</v>
      </c>
      <c r="W463" t="s">
        <v>350</v>
      </c>
      <c r="X463" t="s">
        <v>349</v>
      </c>
      <c r="Y463" t="s">
        <v>580</v>
      </c>
      <c r="Z463">
        <v>2017</v>
      </c>
      <c r="AB463">
        <v>13</v>
      </c>
      <c r="AC463">
        <v>5.55</v>
      </c>
      <c r="AE463" t="s">
        <v>346</v>
      </c>
      <c r="AF463">
        <v>46.142674</v>
      </c>
      <c r="AG463">
        <v>-115.598088</v>
      </c>
      <c r="AH463">
        <v>14573587</v>
      </c>
    </row>
    <row r="464" spans="2:34">
      <c r="B464" t="s">
        <v>345</v>
      </c>
      <c r="C464" t="s">
        <v>779</v>
      </c>
      <c r="D464" s="3">
        <v>42846.400000000001</v>
      </c>
      <c r="F464">
        <v>2017</v>
      </c>
      <c r="G464" t="s">
        <v>578</v>
      </c>
      <c r="H464" t="s">
        <v>352</v>
      </c>
      <c r="J464">
        <v>0</v>
      </c>
      <c r="L464">
        <v>1</v>
      </c>
      <c r="M464">
        <v>195</v>
      </c>
      <c r="N464">
        <v>62</v>
      </c>
      <c r="O464" t="s">
        <v>575</v>
      </c>
      <c r="Q464" t="s">
        <v>818</v>
      </c>
      <c r="R464" t="s">
        <v>780</v>
      </c>
      <c r="U464">
        <v>6</v>
      </c>
      <c r="V464">
        <v>6.5</v>
      </c>
      <c r="W464" t="s">
        <v>350</v>
      </c>
      <c r="X464" t="s">
        <v>349</v>
      </c>
      <c r="Y464" t="s">
        <v>580</v>
      </c>
      <c r="Z464">
        <v>2017</v>
      </c>
      <c r="AB464">
        <v>13</v>
      </c>
      <c r="AC464">
        <v>5.55</v>
      </c>
      <c r="AE464" t="s">
        <v>346</v>
      </c>
      <c r="AF464">
        <v>46.142674</v>
      </c>
      <c r="AG464">
        <v>-115.598088</v>
      </c>
      <c r="AH464">
        <v>14573588</v>
      </c>
    </row>
    <row r="465" spans="2:34">
      <c r="B465" t="s">
        <v>345</v>
      </c>
      <c r="C465" t="s">
        <v>779</v>
      </c>
      <c r="D465" s="3">
        <v>42846.400000000001</v>
      </c>
      <c r="F465">
        <v>2017</v>
      </c>
      <c r="G465" t="s">
        <v>578</v>
      </c>
      <c r="H465" t="s">
        <v>352</v>
      </c>
      <c r="J465">
        <v>0</v>
      </c>
      <c r="L465">
        <v>1</v>
      </c>
      <c r="M465">
        <v>177</v>
      </c>
      <c r="N465">
        <v>48</v>
      </c>
      <c r="O465" t="s">
        <v>575</v>
      </c>
      <c r="Q465" t="s">
        <v>819</v>
      </c>
      <c r="R465" t="s">
        <v>780</v>
      </c>
      <c r="U465">
        <v>6</v>
      </c>
      <c r="V465">
        <v>6.5</v>
      </c>
      <c r="W465" t="s">
        <v>350</v>
      </c>
      <c r="X465" t="s">
        <v>349</v>
      </c>
      <c r="Y465" t="s">
        <v>580</v>
      </c>
      <c r="Z465">
        <v>2017</v>
      </c>
      <c r="AB465">
        <v>13</v>
      </c>
      <c r="AC465">
        <v>5.55</v>
      </c>
      <c r="AE465" t="s">
        <v>346</v>
      </c>
      <c r="AF465">
        <v>46.142674</v>
      </c>
      <c r="AG465">
        <v>-115.598088</v>
      </c>
      <c r="AH465">
        <v>14573589</v>
      </c>
    </row>
    <row r="466" spans="2:34">
      <c r="B466" t="s">
        <v>345</v>
      </c>
      <c r="C466" t="s">
        <v>779</v>
      </c>
      <c r="D466" s="3">
        <v>42846.400000000001</v>
      </c>
      <c r="F466">
        <v>2017</v>
      </c>
      <c r="G466" t="s">
        <v>578</v>
      </c>
      <c r="H466" t="s">
        <v>352</v>
      </c>
      <c r="J466">
        <v>0</v>
      </c>
      <c r="L466">
        <v>1</v>
      </c>
      <c r="M466">
        <v>165</v>
      </c>
      <c r="N466">
        <v>43</v>
      </c>
      <c r="O466" t="s">
        <v>575</v>
      </c>
      <c r="Q466" t="s">
        <v>820</v>
      </c>
      <c r="R466" t="s">
        <v>780</v>
      </c>
      <c r="U466">
        <v>6</v>
      </c>
      <c r="V466">
        <v>6.5</v>
      </c>
      <c r="W466" t="s">
        <v>350</v>
      </c>
      <c r="X466" t="s">
        <v>349</v>
      </c>
      <c r="Y466" t="s">
        <v>580</v>
      </c>
      <c r="Z466">
        <v>2017</v>
      </c>
      <c r="AB466">
        <v>13</v>
      </c>
      <c r="AC466">
        <v>5.55</v>
      </c>
      <c r="AE466" t="s">
        <v>346</v>
      </c>
      <c r="AF466">
        <v>46.142674</v>
      </c>
      <c r="AG466">
        <v>-115.598088</v>
      </c>
      <c r="AH466">
        <v>14573590</v>
      </c>
    </row>
    <row r="467" spans="2:34">
      <c r="B467" t="s">
        <v>345</v>
      </c>
      <c r="C467" t="s">
        <v>779</v>
      </c>
      <c r="D467" s="3">
        <v>42846.400000000001</v>
      </c>
      <c r="F467">
        <v>2017</v>
      </c>
      <c r="G467" t="s">
        <v>578</v>
      </c>
      <c r="H467" t="s">
        <v>352</v>
      </c>
      <c r="J467">
        <v>0</v>
      </c>
      <c r="L467">
        <v>1</v>
      </c>
      <c r="M467">
        <v>206</v>
      </c>
      <c r="N467">
        <v>83</v>
      </c>
      <c r="O467" t="s">
        <v>575</v>
      </c>
      <c r="Q467" t="s">
        <v>821</v>
      </c>
      <c r="R467" t="s">
        <v>780</v>
      </c>
      <c r="U467">
        <v>6</v>
      </c>
      <c r="V467">
        <v>6.5</v>
      </c>
      <c r="W467" t="s">
        <v>350</v>
      </c>
      <c r="X467" t="s">
        <v>349</v>
      </c>
      <c r="Y467" t="s">
        <v>580</v>
      </c>
      <c r="Z467">
        <v>2017</v>
      </c>
      <c r="AB467">
        <v>13</v>
      </c>
      <c r="AC467">
        <v>5.55</v>
      </c>
      <c r="AE467" t="s">
        <v>346</v>
      </c>
      <c r="AF467">
        <v>46.142674</v>
      </c>
      <c r="AG467">
        <v>-115.598088</v>
      </c>
      <c r="AH467">
        <v>14573591</v>
      </c>
    </row>
    <row r="468" spans="2:34">
      <c r="B468" t="s">
        <v>345</v>
      </c>
      <c r="C468" t="s">
        <v>779</v>
      </c>
      <c r="D468" s="3">
        <v>42846.400000000001</v>
      </c>
      <c r="F468">
        <v>2017</v>
      </c>
      <c r="G468" t="s">
        <v>578</v>
      </c>
      <c r="H468" t="s">
        <v>352</v>
      </c>
      <c r="J468">
        <v>0</v>
      </c>
      <c r="L468">
        <v>1</v>
      </c>
      <c r="M468">
        <v>159</v>
      </c>
      <c r="N468">
        <v>38</v>
      </c>
      <c r="O468" t="s">
        <v>575</v>
      </c>
      <c r="Q468" t="s">
        <v>822</v>
      </c>
      <c r="R468" t="s">
        <v>780</v>
      </c>
      <c r="U468">
        <v>6</v>
      </c>
      <c r="V468">
        <v>6.5</v>
      </c>
      <c r="W468" t="s">
        <v>350</v>
      </c>
      <c r="X468" t="s">
        <v>349</v>
      </c>
      <c r="Y468" t="s">
        <v>580</v>
      </c>
      <c r="Z468">
        <v>2017</v>
      </c>
      <c r="AB468">
        <v>13</v>
      </c>
      <c r="AC468">
        <v>5.55</v>
      </c>
      <c r="AE468" t="s">
        <v>346</v>
      </c>
      <c r="AF468">
        <v>46.142674</v>
      </c>
      <c r="AG468">
        <v>-115.598088</v>
      </c>
      <c r="AH468">
        <v>14573592</v>
      </c>
    </row>
    <row r="469" spans="2:34">
      <c r="B469" t="s">
        <v>345</v>
      </c>
      <c r="C469" t="s">
        <v>779</v>
      </c>
      <c r="D469" s="3">
        <v>42846.400000000001</v>
      </c>
      <c r="F469">
        <v>2017</v>
      </c>
      <c r="G469" t="s">
        <v>578</v>
      </c>
      <c r="H469" t="s">
        <v>352</v>
      </c>
      <c r="J469">
        <v>0</v>
      </c>
      <c r="L469">
        <v>1</v>
      </c>
      <c r="M469">
        <v>159</v>
      </c>
      <c r="N469">
        <v>33</v>
      </c>
      <c r="O469" t="s">
        <v>575</v>
      </c>
      <c r="Q469" t="s">
        <v>823</v>
      </c>
      <c r="R469" t="s">
        <v>780</v>
      </c>
      <c r="U469">
        <v>6</v>
      </c>
      <c r="V469">
        <v>6.5</v>
      </c>
      <c r="W469" t="s">
        <v>350</v>
      </c>
      <c r="X469" t="s">
        <v>349</v>
      </c>
      <c r="Y469" t="s">
        <v>580</v>
      </c>
      <c r="Z469">
        <v>2017</v>
      </c>
      <c r="AB469">
        <v>13</v>
      </c>
      <c r="AC469">
        <v>5.55</v>
      </c>
      <c r="AE469" t="s">
        <v>346</v>
      </c>
      <c r="AF469">
        <v>46.142674</v>
      </c>
      <c r="AG469">
        <v>-115.598088</v>
      </c>
      <c r="AH469">
        <v>14573593</v>
      </c>
    </row>
    <row r="470" spans="2:34">
      <c r="B470" t="s">
        <v>345</v>
      </c>
      <c r="C470" t="s">
        <v>779</v>
      </c>
      <c r="D470" s="3">
        <v>42846.400000000001</v>
      </c>
      <c r="F470">
        <v>2017</v>
      </c>
      <c r="G470" t="s">
        <v>578</v>
      </c>
      <c r="H470" t="s">
        <v>352</v>
      </c>
      <c r="J470">
        <v>0</v>
      </c>
      <c r="L470">
        <v>1</v>
      </c>
      <c r="M470">
        <v>190</v>
      </c>
      <c r="N470">
        <v>66</v>
      </c>
      <c r="O470" t="s">
        <v>575</v>
      </c>
      <c r="Q470" t="s">
        <v>824</v>
      </c>
      <c r="R470" t="s">
        <v>780</v>
      </c>
      <c r="U470">
        <v>6</v>
      </c>
      <c r="V470">
        <v>6.5</v>
      </c>
      <c r="W470" t="s">
        <v>350</v>
      </c>
      <c r="X470" t="s">
        <v>349</v>
      </c>
      <c r="Y470" t="s">
        <v>580</v>
      </c>
      <c r="Z470">
        <v>2017</v>
      </c>
      <c r="AB470">
        <v>13</v>
      </c>
      <c r="AC470">
        <v>5.55</v>
      </c>
      <c r="AE470" t="s">
        <v>346</v>
      </c>
      <c r="AF470">
        <v>46.142674</v>
      </c>
      <c r="AG470">
        <v>-115.598088</v>
      </c>
      <c r="AH470">
        <v>14573594</v>
      </c>
    </row>
    <row r="471" spans="2:34">
      <c r="B471" t="s">
        <v>345</v>
      </c>
      <c r="C471" t="s">
        <v>825</v>
      </c>
      <c r="D471" s="3">
        <v>43039.388888888891</v>
      </c>
      <c r="F471">
        <v>2017</v>
      </c>
      <c r="G471" t="s">
        <v>482</v>
      </c>
      <c r="H471" t="s">
        <v>352</v>
      </c>
      <c r="J471">
        <v>0</v>
      </c>
      <c r="L471">
        <v>1</v>
      </c>
      <c r="M471">
        <v>210</v>
      </c>
      <c r="N471">
        <v>0</v>
      </c>
      <c r="O471" t="s">
        <v>353</v>
      </c>
      <c r="R471" t="s">
        <v>826</v>
      </c>
      <c r="U471">
        <v>25</v>
      </c>
      <c r="V471">
        <v>25</v>
      </c>
      <c r="W471" t="s">
        <v>350</v>
      </c>
      <c r="X471" t="s">
        <v>349</v>
      </c>
      <c r="Y471" t="s">
        <v>642</v>
      </c>
      <c r="Z471">
        <v>2017</v>
      </c>
      <c r="AB471">
        <v>4</v>
      </c>
      <c r="AC471">
        <v>2.2400000000000002</v>
      </c>
      <c r="AE471" t="s">
        <v>346</v>
      </c>
      <c r="AF471">
        <v>46.142674</v>
      </c>
      <c r="AG471">
        <v>-115.598088</v>
      </c>
      <c r="AH471">
        <v>14627520</v>
      </c>
    </row>
    <row r="472" spans="2:34">
      <c r="B472" t="s">
        <v>345</v>
      </c>
      <c r="C472" t="s">
        <v>825</v>
      </c>
      <c r="D472" s="3">
        <v>43039.388888888891</v>
      </c>
      <c r="F472">
        <v>2017</v>
      </c>
      <c r="G472" t="s">
        <v>604</v>
      </c>
      <c r="H472" t="s">
        <v>352</v>
      </c>
      <c r="J472">
        <v>0</v>
      </c>
      <c r="L472">
        <v>1</v>
      </c>
      <c r="M472">
        <v>190</v>
      </c>
      <c r="N472">
        <v>0</v>
      </c>
      <c r="O472" t="s">
        <v>353</v>
      </c>
      <c r="R472" t="s">
        <v>826</v>
      </c>
      <c r="U472">
        <v>25</v>
      </c>
      <c r="V472">
        <v>25</v>
      </c>
      <c r="W472" t="s">
        <v>350</v>
      </c>
      <c r="X472" t="s">
        <v>349</v>
      </c>
      <c r="Y472" t="s">
        <v>642</v>
      </c>
      <c r="Z472">
        <v>2017</v>
      </c>
      <c r="AB472">
        <v>4</v>
      </c>
      <c r="AC472">
        <v>2.2400000000000002</v>
      </c>
      <c r="AE472" t="s">
        <v>346</v>
      </c>
      <c r="AF472">
        <v>46.142674</v>
      </c>
      <c r="AG472">
        <v>-115.598088</v>
      </c>
      <c r="AH472">
        <v>14627521</v>
      </c>
    </row>
    <row r="473" spans="2:34">
      <c r="B473" t="s">
        <v>345</v>
      </c>
      <c r="C473" t="s">
        <v>827</v>
      </c>
      <c r="D473" s="3">
        <v>42816.490972222222</v>
      </c>
      <c r="F473">
        <v>2017</v>
      </c>
      <c r="G473" t="s">
        <v>482</v>
      </c>
      <c r="H473" t="s">
        <v>352</v>
      </c>
      <c r="J473">
        <v>0</v>
      </c>
      <c r="L473">
        <v>1</v>
      </c>
      <c r="M473">
        <v>75</v>
      </c>
      <c r="N473">
        <v>4</v>
      </c>
      <c r="O473" t="s">
        <v>353</v>
      </c>
      <c r="U473">
        <v>5</v>
      </c>
      <c r="V473">
        <v>5</v>
      </c>
      <c r="W473" t="s">
        <v>350</v>
      </c>
      <c r="X473" t="s">
        <v>349</v>
      </c>
      <c r="Y473" t="s">
        <v>580</v>
      </c>
      <c r="Z473">
        <v>2017</v>
      </c>
      <c r="AB473">
        <v>12</v>
      </c>
      <c r="AC473">
        <v>7.42</v>
      </c>
      <c r="AE473" t="s">
        <v>346</v>
      </c>
      <c r="AF473">
        <v>46.142674</v>
      </c>
      <c r="AG473">
        <v>-115.598088</v>
      </c>
      <c r="AH473">
        <v>14653437</v>
      </c>
    </row>
    <row r="474" spans="2:34">
      <c r="B474" t="s">
        <v>345</v>
      </c>
      <c r="C474" t="s">
        <v>827</v>
      </c>
      <c r="D474" s="3">
        <v>42816.490972222222</v>
      </c>
      <c r="F474">
        <v>2017</v>
      </c>
      <c r="G474" t="s">
        <v>605</v>
      </c>
      <c r="H474" t="s">
        <v>352</v>
      </c>
      <c r="J474">
        <v>0</v>
      </c>
      <c r="L474">
        <v>1</v>
      </c>
      <c r="M474">
        <v>41</v>
      </c>
      <c r="N474">
        <v>0</v>
      </c>
      <c r="O474" t="s">
        <v>353</v>
      </c>
      <c r="U474">
        <v>5</v>
      </c>
      <c r="V474">
        <v>5</v>
      </c>
      <c r="W474" t="s">
        <v>350</v>
      </c>
      <c r="X474" t="s">
        <v>349</v>
      </c>
      <c r="Y474" t="s">
        <v>580</v>
      </c>
      <c r="Z474">
        <v>2017</v>
      </c>
      <c r="AB474">
        <v>12</v>
      </c>
      <c r="AC474">
        <v>7.42</v>
      </c>
      <c r="AE474" t="s">
        <v>346</v>
      </c>
      <c r="AF474">
        <v>46.142674</v>
      </c>
      <c r="AG474">
        <v>-115.598088</v>
      </c>
      <c r="AH474">
        <v>14653438</v>
      </c>
    </row>
    <row r="475" spans="2:34">
      <c r="B475" t="s">
        <v>345</v>
      </c>
      <c r="C475" t="s">
        <v>812</v>
      </c>
      <c r="D475" s="3">
        <v>42936.295138888891</v>
      </c>
      <c r="F475">
        <v>2017</v>
      </c>
      <c r="G475" t="s">
        <v>636</v>
      </c>
      <c r="H475" t="s">
        <v>352</v>
      </c>
      <c r="J475">
        <v>0</v>
      </c>
      <c r="L475">
        <v>1</v>
      </c>
      <c r="O475" t="s">
        <v>643</v>
      </c>
      <c r="U475">
        <v>25</v>
      </c>
      <c r="V475">
        <v>18</v>
      </c>
      <c r="W475" t="s">
        <v>350</v>
      </c>
      <c r="X475" t="s">
        <v>349</v>
      </c>
      <c r="Y475" t="s">
        <v>813</v>
      </c>
      <c r="Z475">
        <v>2017</v>
      </c>
      <c r="AB475">
        <v>10</v>
      </c>
      <c r="AC475">
        <v>2.4</v>
      </c>
      <c r="AE475" t="s">
        <v>346</v>
      </c>
      <c r="AF475">
        <v>46.142674</v>
      </c>
      <c r="AG475">
        <v>-115.598088</v>
      </c>
      <c r="AH475">
        <v>14600514</v>
      </c>
    </row>
    <row r="476" spans="2:34">
      <c r="B476" t="s">
        <v>345</v>
      </c>
      <c r="C476" t="s">
        <v>812</v>
      </c>
      <c r="D476" s="3">
        <v>42936.295138888891</v>
      </c>
      <c r="F476">
        <v>2017</v>
      </c>
      <c r="G476" t="s">
        <v>605</v>
      </c>
      <c r="H476" t="s">
        <v>352</v>
      </c>
      <c r="J476">
        <v>0</v>
      </c>
      <c r="L476">
        <v>2</v>
      </c>
      <c r="O476" t="s">
        <v>353</v>
      </c>
      <c r="U476">
        <v>25</v>
      </c>
      <c r="V476">
        <v>18</v>
      </c>
      <c r="W476" t="s">
        <v>350</v>
      </c>
      <c r="X476" t="s">
        <v>349</v>
      </c>
      <c r="Y476" t="s">
        <v>813</v>
      </c>
      <c r="Z476">
        <v>2017</v>
      </c>
      <c r="AB476">
        <v>10</v>
      </c>
      <c r="AC476">
        <v>2.4</v>
      </c>
      <c r="AE476" t="s">
        <v>346</v>
      </c>
      <c r="AF476">
        <v>46.142674</v>
      </c>
      <c r="AG476">
        <v>-115.598088</v>
      </c>
      <c r="AH476">
        <v>14600515</v>
      </c>
    </row>
    <row r="477" spans="2:34">
      <c r="B477" t="s">
        <v>345</v>
      </c>
      <c r="C477" t="s">
        <v>812</v>
      </c>
      <c r="D477" s="3">
        <v>42936.295138888891</v>
      </c>
      <c r="F477">
        <v>2017</v>
      </c>
      <c r="G477" t="s">
        <v>611</v>
      </c>
      <c r="H477" t="s">
        <v>352</v>
      </c>
      <c r="J477">
        <v>0</v>
      </c>
      <c r="L477">
        <v>4</v>
      </c>
      <c r="O477" t="s">
        <v>643</v>
      </c>
      <c r="U477">
        <v>25</v>
      </c>
      <c r="V477">
        <v>18</v>
      </c>
      <c r="W477" t="s">
        <v>350</v>
      </c>
      <c r="X477" t="s">
        <v>349</v>
      </c>
      <c r="Y477" t="s">
        <v>813</v>
      </c>
      <c r="Z477">
        <v>2017</v>
      </c>
      <c r="AB477">
        <v>10</v>
      </c>
      <c r="AC477">
        <v>2.4</v>
      </c>
      <c r="AE477" t="s">
        <v>346</v>
      </c>
      <c r="AF477">
        <v>46.142674</v>
      </c>
      <c r="AG477">
        <v>-115.598088</v>
      </c>
      <c r="AH477">
        <v>14600516</v>
      </c>
    </row>
    <row r="478" spans="2:34">
      <c r="B478" t="s">
        <v>345</v>
      </c>
      <c r="C478" t="s">
        <v>812</v>
      </c>
      <c r="D478" s="3">
        <v>42936.295138888891</v>
      </c>
      <c r="F478">
        <v>2017</v>
      </c>
      <c r="G478" t="s">
        <v>574</v>
      </c>
      <c r="H478" t="s">
        <v>352</v>
      </c>
      <c r="J478">
        <v>0</v>
      </c>
      <c r="L478">
        <v>1</v>
      </c>
      <c r="M478">
        <v>0</v>
      </c>
      <c r="N478">
        <v>0</v>
      </c>
      <c r="O478" t="s">
        <v>609</v>
      </c>
      <c r="U478">
        <v>25</v>
      </c>
      <c r="V478">
        <v>18</v>
      </c>
      <c r="W478" t="s">
        <v>350</v>
      </c>
      <c r="X478" t="s">
        <v>349</v>
      </c>
      <c r="Y478" t="s">
        <v>813</v>
      </c>
      <c r="Z478">
        <v>2017</v>
      </c>
      <c r="AB478">
        <v>10</v>
      </c>
      <c r="AC478">
        <v>2.4</v>
      </c>
      <c r="AE478" t="s">
        <v>346</v>
      </c>
      <c r="AF478">
        <v>46.142674</v>
      </c>
      <c r="AG478">
        <v>-115.598088</v>
      </c>
      <c r="AH478">
        <v>14600517</v>
      </c>
    </row>
    <row r="479" spans="2:34">
      <c r="B479" t="s">
        <v>345</v>
      </c>
      <c r="C479" t="s">
        <v>828</v>
      </c>
      <c r="D479" s="3">
        <v>42835.322222222225</v>
      </c>
      <c r="F479">
        <v>2017</v>
      </c>
      <c r="G479" t="s">
        <v>578</v>
      </c>
      <c r="H479" t="s">
        <v>352</v>
      </c>
      <c r="J479">
        <v>0</v>
      </c>
      <c r="L479">
        <v>1</v>
      </c>
      <c r="M479">
        <v>149</v>
      </c>
      <c r="N479">
        <v>32</v>
      </c>
      <c r="O479" t="s">
        <v>575</v>
      </c>
      <c r="Q479" t="s">
        <v>829</v>
      </c>
      <c r="U479">
        <v>4</v>
      </c>
      <c r="V479">
        <v>4</v>
      </c>
      <c r="W479" t="s">
        <v>350</v>
      </c>
      <c r="X479" t="s">
        <v>349</v>
      </c>
      <c r="Y479" t="s">
        <v>580</v>
      </c>
      <c r="Z479">
        <v>2017</v>
      </c>
      <c r="AB479">
        <v>14</v>
      </c>
      <c r="AC479">
        <v>5.57</v>
      </c>
      <c r="AE479" t="s">
        <v>346</v>
      </c>
      <c r="AF479">
        <v>46.142674</v>
      </c>
      <c r="AG479">
        <v>-115.598088</v>
      </c>
      <c r="AH479">
        <v>14632735</v>
      </c>
    </row>
    <row r="480" spans="2:34">
      <c r="B480" t="s">
        <v>345</v>
      </c>
      <c r="C480" t="s">
        <v>828</v>
      </c>
      <c r="D480" s="3">
        <v>42835.322222222225</v>
      </c>
      <c r="F480">
        <v>2017</v>
      </c>
      <c r="G480" t="s">
        <v>578</v>
      </c>
      <c r="H480" t="s">
        <v>352</v>
      </c>
      <c r="J480">
        <v>0</v>
      </c>
      <c r="L480">
        <v>1</v>
      </c>
      <c r="M480">
        <v>147</v>
      </c>
      <c r="N480">
        <v>28</v>
      </c>
      <c r="O480" t="s">
        <v>575</v>
      </c>
      <c r="Q480" t="s">
        <v>830</v>
      </c>
      <c r="U480">
        <v>4</v>
      </c>
      <c r="V480">
        <v>4</v>
      </c>
      <c r="W480" t="s">
        <v>350</v>
      </c>
      <c r="X480" t="s">
        <v>349</v>
      </c>
      <c r="Y480" t="s">
        <v>580</v>
      </c>
      <c r="Z480">
        <v>2017</v>
      </c>
      <c r="AB480">
        <v>14</v>
      </c>
      <c r="AC480">
        <v>5.57</v>
      </c>
      <c r="AE480" t="s">
        <v>346</v>
      </c>
      <c r="AF480">
        <v>46.142674</v>
      </c>
      <c r="AG480">
        <v>-115.598088</v>
      </c>
      <c r="AH480">
        <v>14632736</v>
      </c>
    </row>
    <row r="481" spans="2:35">
      <c r="B481" t="s">
        <v>345</v>
      </c>
      <c r="C481" t="s">
        <v>828</v>
      </c>
      <c r="D481" s="3">
        <v>42835.322222222225</v>
      </c>
      <c r="F481">
        <v>2017</v>
      </c>
      <c r="G481" t="s">
        <v>574</v>
      </c>
      <c r="H481" t="s">
        <v>352</v>
      </c>
      <c r="J481">
        <v>0</v>
      </c>
      <c r="L481">
        <v>1</v>
      </c>
      <c r="M481">
        <v>92</v>
      </c>
      <c r="N481">
        <v>8</v>
      </c>
      <c r="O481" t="s">
        <v>575</v>
      </c>
      <c r="Q481" t="s">
        <v>576</v>
      </c>
      <c r="U481">
        <v>4</v>
      </c>
      <c r="V481">
        <v>4</v>
      </c>
      <c r="W481" t="s">
        <v>350</v>
      </c>
      <c r="X481" t="s">
        <v>349</v>
      </c>
      <c r="Y481" t="s">
        <v>580</v>
      </c>
      <c r="Z481">
        <v>2017</v>
      </c>
      <c r="AB481">
        <v>14</v>
      </c>
      <c r="AC481">
        <v>5.57</v>
      </c>
      <c r="AE481" t="s">
        <v>346</v>
      </c>
      <c r="AF481">
        <v>46.142674</v>
      </c>
      <c r="AG481">
        <v>-115.598088</v>
      </c>
      <c r="AH481">
        <v>14632737</v>
      </c>
    </row>
    <row r="482" spans="2:35">
      <c r="B482" t="s">
        <v>345</v>
      </c>
      <c r="C482" t="s">
        <v>831</v>
      </c>
      <c r="D482" s="3">
        <v>42983.282638888886</v>
      </c>
      <c r="F482">
        <v>2017</v>
      </c>
      <c r="G482" t="s">
        <v>482</v>
      </c>
      <c r="H482" t="s">
        <v>352</v>
      </c>
      <c r="J482">
        <v>0</v>
      </c>
      <c r="L482">
        <v>1</v>
      </c>
      <c r="M482">
        <v>0</v>
      </c>
      <c r="N482">
        <v>0</v>
      </c>
      <c r="O482" t="s">
        <v>643</v>
      </c>
      <c r="R482" t="s">
        <v>832</v>
      </c>
      <c r="U482">
        <v>25</v>
      </c>
      <c r="V482">
        <v>25</v>
      </c>
      <c r="W482" t="s">
        <v>350</v>
      </c>
      <c r="X482" t="s">
        <v>349</v>
      </c>
      <c r="Y482" t="s">
        <v>642</v>
      </c>
      <c r="Z482">
        <v>2017</v>
      </c>
      <c r="AB482">
        <v>4</v>
      </c>
      <c r="AC482">
        <v>1.75</v>
      </c>
      <c r="AE482" t="s">
        <v>346</v>
      </c>
      <c r="AF482">
        <v>46.142674</v>
      </c>
      <c r="AG482">
        <v>-115.598088</v>
      </c>
      <c r="AH482">
        <v>14633274</v>
      </c>
    </row>
    <row r="483" spans="2:35">
      <c r="B483" t="s">
        <v>345</v>
      </c>
      <c r="C483" t="s">
        <v>831</v>
      </c>
      <c r="D483" s="3">
        <v>42983.282638888886</v>
      </c>
      <c r="F483">
        <v>2017</v>
      </c>
      <c r="G483" t="s">
        <v>605</v>
      </c>
      <c r="H483" t="s">
        <v>352</v>
      </c>
      <c r="J483">
        <v>0</v>
      </c>
      <c r="L483">
        <v>20</v>
      </c>
      <c r="M483">
        <v>0</v>
      </c>
      <c r="N483">
        <v>0</v>
      </c>
      <c r="O483" t="s">
        <v>606</v>
      </c>
      <c r="R483" t="s">
        <v>832</v>
      </c>
      <c r="U483">
        <v>25</v>
      </c>
      <c r="V483">
        <v>25</v>
      </c>
      <c r="W483" t="s">
        <v>350</v>
      </c>
      <c r="X483" t="s">
        <v>349</v>
      </c>
      <c r="Y483" t="s">
        <v>642</v>
      </c>
      <c r="Z483">
        <v>2017</v>
      </c>
      <c r="AB483">
        <v>4</v>
      </c>
      <c r="AC483">
        <v>1.75</v>
      </c>
      <c r="AE483" t="s">
        <v>346</v>
      </c>
      <c r="AF483">
        <v>46.142674</v>
      </c>
      <c r="AG483">
        <v>-115.598088</v>
      </c>
      <c r="AH483">
        <v>14633275</v>
      </c>
    </row>
    <row r="484" spans="2:35">
      <c r="B484" t="s">
        <v>345</v>
      </c>
      <c r="C484" t="s">
        <v>833</v>
      </c>
      <c r="D484" s="3">
        <v>42839.298611111109</v>
      </c>
      <c r="F484">
        <v>2017</v>
      </c>
      <c r="G484" t="s">
        <v>578</v>
      </c>
      <c r="H484" t="s">
        <v>352</v>
      </c>
      <c r="J484">
        <v>0</v>
      </c>
      <c r="L484">
        <v>1</v>
      </c>
      <c r="M484">
        <v>162</v>
      </c>
      <c r="N484">
        <v>41</v>
      </c>
      <c r="O484" t="s">
        <v>575</v>
      </c>
      <c r="Q484" t="s">
        <v>834</v>
      </c>
      <c r="R484" t="s">
        <v>608</v>
      </c>
      <c r="U484">
        <v>5</v>
      </c>
      <c r="V484">
        <v>5</v>
      </c>
      <c r="W484" t="s">
        <v>350</v>
      </c>
      <c r="X484" t="s">
        <v>349</v>
      </c>
      <c r="Y484" t="s">
        <v>348</v>
      </c>
      <c r="Z484">
        <v>2017</v>
      </c>
      <c r="AB484">
        <v>14</v>
      </c>
      <c r="AC484">
        <v>5.48</v>
      </c>
      <c r="AE484" t="s">
        <v>346</v>
      </c>
      <c r="AF484">
        <v>46.142674</v>
      </c>
      <c r="AG484">
        <v>-115.598088</v>
      </c>
      <c r="AH484">
        <v>14669906</v>
      </c>
      <c r="AI484">
        <f>17-68049</f>
        <v>-68032</v>
      </c>
    </row>
    <row r="485" spans="2:35">
      <c r="B485" t="s">
        <v>345</v>
      </c>
      <c r="C485" t="s">
        <v>833</v>
      </c>
      <c r="D485" s="3">
        <v>42839.298611111109</v>
      </c>
      <c r="F485">
        <v>2017</v>
      </c>
      <c r="G485" t="s">
        <v>578</v>
      </c>
      <c r="H485" t="s">
        <v>352</v>
      </c>
      <c r="J485">
        <v>0</v>
      </c>
      <c r="L485">
        <v>1</v>
      </c>
      <c r="M485">
        <v>174</v>
      </c>
      <c r="N485">
        <v>44</v>
      </c>
      <c r="O485" t="s">
        <v>575</v>
      </c>
      <c r="Q485" t="s">
        <v>835</v>
      </c>
      <c r="R485" t="s">
        <v>608</v>
      </c>
      <c r="U485">
        <v>5</v>
      </c>
      <c r="V485">
        <v>5</v>
      </c>
      <c r="W485" t="s">
        <v>350</v>
      </c>
      <c r="X485" t="s">
        <v>349</v>
      </c>
      <c r="Y485" t="s">
        <v>348</v>
      </c>
      <c r="Z485">
        <v>2017</v>
      </c>
      <c r="AB485">
        <v>14</v>
      </c>
      <c r="AC485">
        <v>5.48</v>
      </c>
      <c r="AE485" t="s">
        <v>346</v>
      </c>
      <c r="AF485">
        <v>46.142674</v>
      </c>
      <c r="AG485">
        <v>-115.598088</v>
      </c>
      <c r="AH485">
        <v>14669907</v>
      </c>
      <c r="AI485">
        <f>17-68048</f>
        <v>-68031</v>
      </c>
    </row>
    <row r="486" spans="2:35">
      <c r="B486" t="s">
        <v>345</v>
      </c>
      <c r="C486" t="s">
        <v>833</v>
      </c>
      <c r="D486" s="3">
        <v>42839.298611111109</v>
      </c>
      <c r="F486">
        <v>2017</v>
      </c>
      <c r="G486" t="s">
        <v>351</v>
      </c>
      <c r="H486" t="s">
        <v>352</v>
      </c>
      <c r="J486">
        <v>0</v>
      </c>
      <c r="L486">
        <v>1</v>
      </c>
      <c r="M486">
        <v>125</v>
      </c>
      <c r="N486">
        <v>4</v>
      </c>
      <c r="O486" t="s">
        <v>353</v>
      </c>
      <c r="R486" t="s">
        <v>608</v>
      </c>
      <c r="U486">
        <v>5</v>
      </c>
      <c r="V486">
        <v>5</v>
      </c>
      <c r="W486" t="s">
        <v>350</v>
      </c>
      <c r="X486" t="s">
        <v>349</v>
      </c>
      <c r="Y486" t="s">
        <v>348</v>
      </c>
      <c r="Z486">
        <v>2017</v>
      </c>
      <c r="AB486">
        <v>14</v>
      </c>
      <c r="AC486">
        <v>5.48</v>
      </c>
      <c r="AE486" t="s">
        <v>346</v>
      </c>
      <c r="AF486">
        <v>46.142674</v>
      </c>
      <c r="AG486">
        <v>-115.598088</v>
      </c>
      <c r="AH486">
        <v>14669908</v>
      </c>
    </row>
    <row r="487" spans="2:35">
      <c r="B487" t="s">
        <v>345</v>
      </c>
      <c r="C487" t="s">
        <v>833</v>
      </c>
      <c r="D487" s="3">
        <v>42839.298611111109</v>
      </c>
      <c r="F487">
        <v>2017</v>
      </c>
      <c r="G487" t="s">
        <v>578</v>
      </c>
      <c r="H487" t="s">
        <v>352</v>
      </c>
      <c r="J487">
        <v>0</v>
      </c>
      <c r="L487">
        <v>1</v>
      </c>
      <c r="M487">
        <v>170</v>
      </c>
      <c r="N487">
        <v>40</v>
      </c>
      <c r="O487" t="s">
        <v>575</v>
      </c>
      <c r="Q487" t="s">
        <v>836</v>
      </c>
      <c r="R487" t="s">
        <v>608</v>
      </c>
      <c r="U487">
        <v>5</v>
      </c>
      <c r="V487">
        <v>5</v>
      </c>
      <c r="W487" t="s">
        <v>350</v>
      </c>
      <c r="X487" t="s">
        <v>349</v>
      </c>
      <c r="Y487" t="s">
        <v>348</v>
      </c>
      <c r="Z487">
        <v>2017</v>
      </c>
      <c r="AB487">
        <v>14</v>
      </c>
      <c r="AC487">
        <v>5.48</v>
      </c>
      <c r="AE487" t="s">
        <v>346</v>
      </c>
      <c r="AF487">
        <v>46.142674</v>
      </c>
      <c r="AG487">
        <v>-115.598088</v>
      </c>
      <c r="AH487">
        <v>14669909</v>
      </c>
      <c r="AI487">
        <f>17-68050</f>
        <v>-68033</v>
      </c>
    </row>
    <row r="488" spans="2:35">
      <c r="B488" t="s">
        <v>345</v>
      </c>
      <c r="C488" t="s">
        <v>833</v>
      </c>
      <c r="D488" s="3">
        <v>42839.298611111109</v>
      </c>
      <c r="F488">
        <v>2017</v>
      </c>
      <c r="G488" t="s">
        <v>578</v>
      </c>
      <c r="H488" t="s">
        <v>352</v>
      </c>
      <c r="J488">
        <v>0</v>
      </c>
      <c r="L488">
        <v>1</v>
      </c>
      <c r="M488">
        <v>158</v>
      </c>
      <c r="N488">
        <v>38</v>
      </c>
      <c r="O488" t="s">
        <v>575</v>
      </c>
      <c r="Q488" t="s">
        <v>837</v>
      </c>
      <c r="R488" t="s">
        <v>608</v>
      </c>
      <c r="U488">
        <v>5</v>
      </c>
      <c r="V488">
        <v>5</v>
      </c>
      <c r="W488" t="s">
        <v>350</v>
      </c>
      <c r="X488" t="s">
        <v>349</v>
      </c>
      <c r="Y488" t="s">
        <v>348</v>
      </c>
      <c r="Z488">
        <v>2017</v>
      </c>
      <c r="AB488">
        <v>14</v>
      </c>
      <c r="AC488">
        <v>5.48</v>
      </c>
      <c r="AE488" t="s">
        <v>346</v>
      </c>
      <c r="AF488">
        <v>46.142674</v>
      </c>
      <c r="AG488">
        <v>-115.598088</v>
      </c>
      <c r="AH488">
        <v>14669910</v>
      </c>
      <c r="AI488">
        <f>17-68052</f>
        <v>-68035</v>
      </c>
    </row>
    <row r="489" spans="2:35">
      <c r="B489" t="s">
        <v>345</v>
      </c>
      <c r="C489" t="s">
        <v>833</v>
      </c>
      <c r="D489" s="3">
        <v>42839.298611111109</v>
      </c>
      <c r="F489">
        <v>2017</v>
      </c>
      <c r="G489" t="s">
        <v>578</v>
      </c>
      <c r="H489" t="s">
        <v>352</v>
      </c>
      <c r="J489">
        <v>0</v>
      </c>
      <c r="L489">
        <v>1</v>
      </c>
      <c r="M489">
        <v>195</v>
      </c>
      <c r="N489">
        <v>63</v>
      </c>
      <c r="O489" t="s">
        <v>575</v>
      </c>
      <c r="Q489" t="s">
        <v>838</v>
      </c>
      <c r="R489" t="s">
        <v>608</v>
      </c>
      <c r="U489">
        <v>5</v>
      </c>
      <c r="V489">
        <v>5</v>
      </c>
      <c r="W489" t="s">
        <v>350</v>
      </c>
      <c r="X489" t="s">
        <v>349</v>
      </c>
      <c r="Y489" t="s">
        <v>348</v>
      </c>
      <c r="Z489">
        <v>2017</v>
      </c>
      <c r="AB489">
        <v>14</v>
      </c>
      <c r="AC489">
        <v>5.48</v>
      </c>
      <c r="AE489" t="s">
        <v>346</v>
      </c>
      <c r="AF489">
        <v>46.142674</v>
      </c>
      <c r="AG489">
        <v>-115.598088</v>
      </c>
      <c r="AH489">
        <v>14669911</v>
      </c>
      <c r="AI489">
        <f>17-68045</f>
        <v>-68028</v>
      </c>
    </row>
    <row r="490" spans="2:35">
      <c r="B490" t="s">
        <v>345</v>
      </c>
      <c r="C490" t="s">
        <v>833</v>
      </c>
      <c r="D490" s="3">
        <v>42839.298611111109</v>
      </c>
      <c r="F490">
        <v>2017</v>
      </c>
      <c r="G490" t="s">
        <v>578</v>
      </c>
      <c r="H490" t="s">
        <v>352</v>
      </c>
      <c r="J490">
        <v>0</v>
      </c>
      <c r="L490">
        <v>1</v>
      </c>
      <c r="M490">
        <v>192</v>
      </c>
      <c r="N490">
        <v>63</v>
      </c>
      <c r="O490" t="s">
        <v>575</v>
      </c>
      <c r="Q490" t="s">
        <v>839</v>
      </c>
      <c r="R490" t="s">
        <v>608</v>
      </c>
      <c r="U490">
        <v>5</v>
      </c>
      <c r="V490">
        <v>5</v>
      </c>
      <c r="W490" t="s">
        <v>350</v>
      </c>
      <c r="X490" t="s">
        <v>349</v>
      </c>
      <c r="Y490" t="s">
        <v>348</v>
      </c>
      <c r="Z490">
        <v>2017</v>
      </c>
      <c r="AB490">
        <v>14</v>
      </c>
      <c r="AC490">
        <v>5.48</v>
      </c>
      <c r="AE490" t="s">
        <v>346</v>
      </c>
      <c r="AF490">
        <v>46.142674</v>
      </c>
      <c r="AG490">
        <v>-115.598088</v>
      </c>
      <c r="AH490">
        <v>14669912</v>
      </c>
      <c r="AI490">
        <f>17-68047</f>
        <v>-68030</v>
      </c>
    </row>
    <row r="491" spans="2:35">
      <c r="B491" t="s">
        <v>345</v>
      </c>
      <c r="C491" t="s">
        <v>833</v>
      </c>
      <c r="D491" s="3">
        <v>42839.298611111109</v>
      </c>
      <c r="F491">
        <v>2017</v>
      </c>
      <c r="G491" t="s">
        <v>578</v>
      </c>
      <c r="H491" t="s">
        <v>352</v>
      </c>
      <c r="J491">
        <v>0</v>
      </c>
      <c r="L491">
        <v>1</v>
      </c>
      <c r="M491">
        <v>141</v>
      </c>
      <c r="N491">
        <v>26</v>
      </c>
      <c r="O491" t="s">
        <v>575</v>
      </c>
      <c r="Q491" t="s">
        <v>840</v>
      </c>
      <c r="R491" t="s">
        <v>608</v>
      </c>
      <c r="U491">
        <v>5</v>
      </c>
      <c r="V491">
        <v>5</v>
      </c>
      <c r="W491" t="s">
        <v>350</v>
      </c>
      <c r="X491" t="s">
        <v>349</v>
      </c>
      <c r="Y491" t="s">
        <v>348</v>
      </c>
      <c r="Z491">
        <v>2017</v>
      </c>
      <c r="AB491">
        <v>14</v>
      </c>
      <c r="AC491">
        <v>5.48</v>
      </c>
      <c r="AE491" t="s">
        <v>346</v>
      </c>
      <c r="AF491">
        <v>46.142674</v>
      </c>
      <c r="AG491">
        <v>-115.598088</v>
      </c>
      <c r="AH491">
        <v>14669913</v>
      </c>
      <c r="AI491">
        <f>17-68053</f>
        <v>-68036</v>
      </c>
    </row>
    <row r="492" spans="2:35">
      <c r="B492" t="s">
        <v>345</v>
      </c>
      <c r="C492" t="s">
        <v>833</v>
      </c>
      <c r="D492" s="3">
        <v>42839.298611111109</v>
      </c>
      <c r="F492">
        <v>2017</v>
      </c>
      <c r="G492" t="s">
        <v>578</v>
      </c>
      <c r="H492" t="s">
        <v>352</v>
      </c>
      <c r="J492">
        <v>0</v>
      </c>
      <c r="L492">
        <v>1</v>
      </c>
      <c r="M492">
        <v>180</v>
      </c>
      <c r="N492">
        <v>55</v>
      </c>
      <c r="O492" t="s">
        <v>575</v>
      </c>
      <c r="Q492" t="s">
        <v>841</v>
      </c>
      <c r="R492" t="s">
        <v>608</v>
      </c>
      <c r="U492">
        <v>5</v>
      </c>
      <c r="V492">
        <v>5</v>
      </c>
      <c r="W492" t="s">
        <v>350</v>
      </c>
      <c r="X492" t="s">
        <v>349</v>
      </c>
      <c r="Y492" t="s">
        <v>348</v>
      </c>
      <c r="Z492">
        <v>2017</v>
      </c>
      <c r="AB492">
        <v>14</v>
      </c>
      <c r="AC492">
        <v>5.48</v>
      </c>
      <c r="AE492" t="s">
        <v>346</v>
      </c>
      <c r="AF492">
        <v>46.142674</v>
      </c>
      <c r="AG492">
        <v>-115.598088</v>
      </c>
      <c r="AH492">
        <v>14669914</v>
      </c>
      <c r="AI492">
        <f>17-68051</f>
        <v>-68034</v>
      </c>
    </row>
    <row r="493" spans="2:35">
      <c r="B493" t="s">
        <v>345</v>
      </c>
      <c r="C493" t="s">
        <v>717</v>
      </c>
      <c r="D493" s="3">
        <v>43029.470138888886</v>
      </c>
      <c r="F493">
        <v>2017</v>
      </c>
      <c r="G493" t="s">
        <v>482</v>
      </c>
      <c r="H493" t="s">
        <v>352</v>
      </c>
      <c r="J493">
        <v>0</v>
      </c>
      <c r="L493">
        <v>1</v>
      </c>
      <c r="M493">
        <v>202</v>
      </c>
      <c r="N493">
        <v>92</v>
      </c>
      <c r="O493" t="s">
        <v>353</v>
      </c>
      <c r="R493" t="s">
        <v>603</v>
      </c>
      <c r="U493">
        <v>7</v>
      </c>
      <c r="V493">
        <v>7</v>
      </c>
      <c r="W493" t="s">
        <v>350</v>
      </c>
      <c r="X493" t="s">
        <v>349</v>
      </c>
      <c r="Y493" t="s">
        <v>348</v>
      </c>
      <c r="Z493">
        <v>2017</v>
      </c>
      <c r="AB493">
        <v>6</v>
      </c>
      <c r="AC493">
        <v>2.2200000000000002</v>
      </c>
      <c r="AE493" t="s">
        <v>346</v>
      </c>
      <c r="AF493">
        <v>46.142674</v>
      </c>
      <c r="AG493">
        <v>-115.598088</v>
      </c>
      <c r="AH493">
        <v>14362816</v>
      </c>
    </row>
    <row r="494" spans="2:35">
      <c r="B494" t="s">
        <v>345</v>
      </c>
      <c r="C494" t="s">
        <v>717</v>
      </c>
      <c r="D494" s="3">
        <v>43029.470138888886</v>
      </c>
      <c r="F494">
        <v>2017</v>
      </c>
      <c r="G494" t="s">
        <v>480</v>
      </c>
      <c r="H494" t="s">
        <v>352</v>
      </c>
      <c r="J494">
        <v>0</v>
      </c>
      <c r="L494">
        <v>1</v>
      </c>
      <c r="M494">
        <v>312</v>
      </c>
      <c r="N494">
        <v>0</v>
      </c>
      <c r="O494" t="s">
        <v>353</v>
      </c>
      <c r="R494" t="s">
        <v>603</v>
      </c>
      <c r="U494">
        <v>7</v>
      </c>
      <c r="V494">
        <v>7</v>
      </c>
      <c r="W494" t="s">
        <v>350</v>
      </c>
      <c r="X494" t="s">
        <v>349</v>
      </c>
      <c r="Y494" t="s">
        <v>348</v>
      </c>
      <c r="Z494">
        <v>2017</v>
      </c>
      <c r="AB494">
        <v>6</v>
      </c>
      <c r="AC494">
        <v>2.2200000000000002</v>
      </c>
      <c r="AE494" t="s">
        <v>346</v>
      </c>
      <c r="AF494">
        <v>46.142674</v>
      </c>
      <c r="AG494">
        <v>-115.598088</v>
      </c>
      <c r="AH494">
        <v>14362817</v>
      </c>
    </row>
    <row r="495" spans="2:35">
      <c r="B495" t="s">
        <v>345</v>
      </c>
      <c r="C495" t="s">
        <v>717</v>
      </c>
      <c r="D495" s="3">
        <v>43029.470138888886</v>
      </c>
      <c r="F495">
        <v>2017</v>
      </c>
      <c r="G495" t="s">
        <v>842</v>
      </c>
      <c r="H495" t="s">
        <v>352</v>
      </c>
      <c r="J495">
        <v>0</v>
      </c>
      <c r="L495">
        <v>3</v>
      </c>
      <c r="M495">
        <v>0</v>
      </c>
      <c r="N495">
        <v>0</v>
      </c>
      <c r="O495" t="s">
        <v>643</v>
      </c>
      <c r="R495" t="s">
        <v>603</v>
      </c>
      <c r="U495">
        <v>7</v>
      </c>
      <c r="V495">
        <v>7</v>
      </c>
      <c r="W495" t="s">
        <v>350</v>
      </c>
      <c r="X495" t="s">
        <v>349</v>
      </c>
      <c r="Y495" t="s">
        <v>348</v>
      </c>
      <c r="Z495">
        <v>2017</v>
      </c>
      <c r="AB495">
        <v>6</v>
      </c>
      <c r="AC495">
        <v>2.2200000000000002</v>
      </c>
      <c r="AE495" t="s">
        <v>346</v>
      </c>
      <c r="AF495">
        <v>46.142674</v>
      </c>
      <c r="AG495">
        <v>-115.598088</v>
      </c>
      <c r="AH495">
        <v>14362818</v>
      </c>
    </row>
    <row r="496" spans="2:35">
      <c r="B496" t="s">
        <v>345</v>
      </c>
      <c r="C496" t="s">
        <v>717</v>
      </c>
      <c r="D496" s="3">
        <v>43029.470138888886</v>
      </c>
      <c r="F496">
        <v>2017</v>
      </c>
      <c r="G496" t="s">
        <v>605</v>
      </c>
      <c r="H496" t="s">
        <v>352</v>
      </c>
      <c r="J496">
        <v>0</v>
      </c>
      <c r="L496">
        <v>2</v>
      </c>
      <c r="M496">
        <v>0</v>
      </c>
      <c r="N496">
        <v>0</v>
      </c>
      <c r="O496" t="s">
        <v>606</v>
      </c>
      <c r="R496" t="s">
        <v>603</v>
      </c>
      <c r="U496">
        <v>7</v>
      </c>
      <c r="V496">
        <v>7</v>
      </c>
      <c r="W496" t="s">
        <v>350</v>
      </c>
      <c r="X496" t="s">
        <v>349</v>
      </c>
      <c r="Y496" t="s">
        <v>348</v>
      </c>
      <c r="Z496">
        <v>2017</v>
      </c>
      <c r="AB496">
        <v>6</v>
      </c>
      <c r="AC496">
        <v>2.2200000000000002</v>
      </c>
      <c r="AE496" t="s">
        <v>346</v>
      </c>
      <c r="AF496">
        <v>46.142674</v>
      </c>
      <c r="AG496">
        <v>-115.598088</v>
      </c>
      <c r="AH496">
        <v>14362819</v>
      </c>
    </row>
    <row r="497" spans="2:34">
      <c r="B497" t="s">
        <v>345</v>
      </c>
      <c r="C497" t="s">
        <v>843</v>
      </c>
      <c r="D497" s="3">
        <v>42886.319444444445</v>
      </c>
      <c r="F497">
        <v>2017</v>
      </c>
      <c r="G497" t="s">
        <v>743</v>
      </c>
      <c r="H497" t="s">
        <v>352</v>
      </c>
      <c r="J497">
        <v>0</v>
      </c>
      <c r="L497">
        <v>1</v>
      </c>
      <c r="M497">
        <v>81</v>
      </c>
      <c r="N497">
        <v>8</v>
      </c>
      <c r="O497" t="s">
        <v>353</v>
      </c>
      <c r="R497" t="s">
        <v>844</v>
      </c>
      <c r="U497">
        <v>10</v>
      </c>
      <c r="V497">
        <v>8</v>
      </c>
      <c r="W497" t="s">
        <v>350</v>
      </c>
      <c r="X497" t="s">
        <v>349</v>
      </c>
      <c r="Y497" t="s">
        <v>580</v>
      </c>
      <c r="Z497">
        <v>2017</v>
      </c>
      <c r="AB497">
        <v>12</v>
      </c>
      <c r="AC497">
        <v>8.7799999999999994</v>
      </c>
      <c r="AE497" t="s">
        <v>346</v>
      </c>
      <c r="AF497">
        <v>46.142674</v>
      </c>
      <c r="AG497">
        <v>-115.598088</v>
      </c>
      <c r="AH497">
        <v>14505547</v>
      </c>
    </row>
    <row r="498" spans="2:34">
      <c r="B498" t="s">
        <v>345</v>
      </c>
      <c r="C498" t="s">
        <v>843</v>
      </c>
      <c r="D498" s="3">
        <v>42886.319444444445</v>
      </c>
      <c r="F498">
        <v>2017</v>
      </c>
      <c r="G498" t="s">
        <v>615</v>
      </c>
      <c r="H498" t="s">
        <v>352</v>
      </c>
      <c r="J498">
        <v>0</v>
      </c>
      <c r="L498">
        <v>1</v>
      </c>
      <c r="M498">
        <v>98</v>
      </c>
      <c r="N498">
        <v>11</v>
      </c>
      <c r="O498" t="s">
        <v>353</v>
      </c>
      <c r="R498" t="s">
        <v>844</v>
      </c>
      <c r="U498">
        <v>10</v>
      </c>
      <c r="V498">
        <v>8</v>
      </c>
      <c r="W498" t="s">
        <v>350</v>
      </c>
      <c r="X498" t="s">
        <v>349</v>
      </c>
      <c r="Y498" t="s">
        <v>580</v>
      </c>
      <c r="Z498">
        <v>2017</v>
      </c>
      <c r="AB498">
        <v>12</v>
      </c>
      <c r="AC498">
        <v>8.7799999999999994</v>
      </c>
      <c r="AE498" t="s">
        <v>346</v>
      </c>
      <c r="AF498">
        <v>46.142674</v>
      </c>
      <c r="AG498">
        <v>-115.598088</v>
      </c>
      <c r="AH498">
        <v>14505548</v>
      </c>
    </row>
    <row r="499" spans="2:34">
      <c r="B499" t="s">
        <v>345</v>
      </c>
      <c r="C499" t="s">
        <v>845</v>
      </c>
      <c r="D499" s="3">
        <v>42767.741666666669</v>
      </c>
      <c r="F499">
        <v>2017</v>
      </c>
      <c r="G499" t="s">
        <v>578</v>
      </c>
      <c r="H499" t="s">
        <v>846</v>
      </c>
      <c r="J499">
        <v>0</v>
      </c>
      <c r="L499">
        <v>1</v>
      </c>
      <c r="M499">
        <v>65</v>
      </c>
      <c r="N499">
        <v>7</v>
      </c>
      <c r="O499" t="s">
        <v>634</v>
      </c>
      <c r="P499" t="s">
        <v>635</v>
      </c>
      <c r="Q499" t="s">
        <v>635</v>
      </c>
      <c r="U499">
        <v>20</v>
      </c>
      <c r="V499">
        <v>21</v>
      </c>
      <c r="W499" t="s">
        <v>350</v>
      </c>
      <c r="X499" t="s">
        <v>349</v>
      </c>
      <c r="Y499" t="s">
        <v>847</v>
      </c>
      <c r="Z499">
        <v>2017</v>
      </c>
      <c r="AE499" t="s">
        <v>346</v>
      </c>
      <c r="AF499">
        <v>46.142674</v>
      </c>
      <c r="AG499">
        <v>-115.598088</v>
      </c>
      <c r="AH499">
        <v>14543973</v>
      </c>
    </row>
    <row r="500" spans="2:34">
      <c r="B500" t="s">
        <v>345</v>
      </c>
      <c r="C500" t="s">
        <v>848</v>
      </c>
      <c r="D500" s="3">
        <v>42843.3</v>
      </c>
      <c r="F500">
        <v>2017</v>
      </c>
      <c r="G500" t="s">
        <v>578</v>
      </c>
      <c r="H500" t="s">
        <v>352</v>
      </c>
      <c r="J500">
        <v>0</v>
      </c>
      <c r="L500">
        <v>1</v>
      </c>
      <c r="M500">
        <v>162</v>
      </c>
      <c r="N500">
        <v>42</v>
      </c>
      <c r="O500" t="s">
        <v>575</v>
      </c>
      <c r="Q500" t="s">
        <v>849</v>
      </c>
      <c r="R500" t="s">
        <v>850</v>
      </c>
      <c r="U500">
        <v>5</v>
      </c>
      <c r="V500">
        <v>5</v>
      </c>
      <c r="W500" t="s">
        <v>350</v>
      </c>
      <c r="X500" t="s">
        <v>349</v>
      </c>
      <c r="Y500" t="s">
        <v>580</v>
      </c>
      <c r="Z500">
        <v>2017</v>
      </c>
      <c r="AB500">
        <v>12</v>
      </c>
      <c r="AC500">
        <v>5.39</v>
      </c>
      <c r="AE500" t="s">
        <v>346</v>
      </c>
      <c r="AF500">
        <v>46.142674</v>
      </c>
      <c r="AG500">
        <v>-115.598088</v>
      </c>
      <c r="AH500">
        <v>14579835</v>
      </c>
    </row>
    <row r="501" spans="2:34">
      <c r="B501" t="s">
        <v>345</v>
      </c>
      <c r="C501" t="s">
        <v>848</v>
      </c>
      <c r="D501" s="3">
        <v>42843.3</v>
      </c>
      <c r="F501">
        <v>2017</v>
      </c>
      <c r="G501" t="s">
        <v>578</v>
      </c>
      <c r="H501" t="s">
        <v>352</v>
      </c>
      <c r="J501">
        <v>0</v>
      </c>
      <c r="L501">
        <v>1</v>
      </c>
      <c r="M501">
        <v>201</v>
      </c>
      <c r="N501">
        <v>75</v>
      </c>
      <c r="O501" t="s">
        <v>575</v>
      </c>
      <c r="Q501" t="s">
        <v>851</v>
      </c>
      <c r="R501" t="s">
        <v>850</v>
      </c>
      <c r="U501">
        <v>5</v>
      </c>
      <c r="V501">
        <v>5</v>
      </c>
      <c r="W501" t="s">
        <v>350</v>
      </c>
      <c r="X501" t="s">
        <v>349</v>
      </c>
      <c r="Y501" t="s">
        <v>580</v>
      </c>
      <c r="Z501">
        <v>2017</v>
      </c>
      <c r="AB501">
        <v>12</v>
      </c>
      <c r="AC501">
        <v>5.39</v>
      </c>
      <c r="AE501" t="s">
        <v>346</v>
      </c>
      <c r="AF501">
        <v>46.142674</v>
      </c>
      <c r="AG501">
        <v>-115.598088</v>
      </c>
      <c r="AH501">
        <v>14579836</v>
      </c>
    </row>
    <row r="502" spans="2:34">
      <c r="B502" t="s">
        <v>345</v>
      </c>
      <c r="C502" t="s">
        <v>848</v>
      </c>
      <c r="D502" s="3">
        <v>42843.3</v>
      </c>
      <c r="F502">
        <v>2017</v>
      </c>
      <c r="G502" t="s">
        <v>578</v>
      </c>
      <c r="H502" t="s">
        <v>352</v>
      </c>
      <c r="J502">
        <v>0</v>
      </c>
      <c r="L502">
        <v>1</v>
      </c>
      <c r="M502">
        <v>144</v>
      </c>
      <c r="N502">
        <v>30</v>
      </c>
      <c r="O502" t="s">
        <v>634</v>
      </c>
      <c r="P502" t="s">
        <v>635</v>
      </c>
      <c r="Q502" t="s">
        <v>852</v>
      </c>
      <c r="R502" t="s">
        <v>850</v>
      </c>
      <c r="U502">
        <v>5</v>
      </c>
      <c r="V502">
        <v>5</v>
      </c>
      <c r="W502" t="s">
        <v>350</v>
      </c>
      <c r="X502" t="s">
        <v>349</v>
      </c>
      <c r="Y502" t="s">
        <v>580</v>
      </c>
      <c r="Z502">
        <v>2017</v>
      </c>
      <c r="AB502">
        <v>12</v>
      </c>
      <c r="AC502">
        <v>5.39</v>
      </c>
      <c r="AE502" t="s">
        <v>346</v>
      </c>
      <c r="AF502">
        <v>46.142674</v>
      </c>
      <c r="AG502">
        <v>-115.598088</v>
      </c>
      <c r="AH502">
        <v>14579837</v>
      </c>
    </row>
    <row r="503" spans="2:34">
      <c r="B503" t="s">
        <v>345</v>
      </c>
      <c r="C503" t="s">
        <v>848</v>
      </c>
      <c r="D503" s="3">
        <v>42843.3</v>
      </c>
      <c r="F503">
        <v>2017</v>
      </c>
      <c r="G503" t="s">
        <v>578</v>
      </c>
      <c r="H503" t="s">
        <v>352</v>
      </c>
      <c r="J503">
        <v>0</v>
      </c>
      <c r="L503">
        <v>1</v>
      </c>
      <c r="M503">
        <v>173</v>
      </c>
      <c r="N503">
        <v>45</v>
      </c>
      <c r="O503" t="s">
        <v>575</v>
      </c>
      <c r="Q503" t="s">
        <v>853</v>
      </c>
      <c r="R503" t="s">
        <v>850</v>
      </c>
      <c r="U503">
        <v>5</v>
      </c>
      <c r="V503">
        <v>5</v>
      </c>
      <c r="W503" t="s">
        <v>350</v>
      </c>
      <c r="X503" t="s">
        <v>349</v>
      </c>
      <c r="Y503" t="s">
        <v>580</v>
      </c>
      <c r="Z503">
        <v>2017</v>
      </c>
      <c r="AB503">
        <v>12</v>
      </c>
      <c r="AC503">
        <v>5.39</v>
      </c>
      <c r="AE503" t="s">
        <v>346</v>
      </c>
      <c r="AF503">
        <v>46.142674</v>
      </c>
      <c r="AG503">
        <v>-115.598088</v>
      </c>
      <c r="AH503">
        <v>14579838</v>
      </c>
    </row>
    <row r="504" spans="2:34">
      <c r="B504" t="s">
        <v>345</v>
      </c>
      <c r="C504" t="s">
        <v>848</v>
      </c>
      <c r="D504" s="3">
        <v>42843.3</v>
      </c>
      <c r="F504">
        <v>2017</v>
      </c>
      <c r="G504" t="s">
        <v>578</v>
      </c>
      <c r="H504" t="s">
        <v>352</v>
      </c>
      <c r="J504">
        <v>0</v>
      </c>
      <c r="L504">
        <v>1</v>
      </c>
      <c r="M504">
        <v>168</v>
      </c>
      <c r="N504">
        <v>40</v>
      </c>
      <c r="O504" t="s">
        <v>575</v>
      </c>
      <c r="Q504" t="s">
        <v>854</v>
      </c>
      <c r="R504" t="s">
        <v>850</v>
      </c>
      <c r="U504">
        <v>5</v>
      </c>
      <c r="V504">
        <v>5</v>
      </c>
      <c r="W504" t="s">
        <v>350</v>
      </c>
      <c r="X504" t="s">
        <v>349</v>
      </c>
      <c r="Y504" t="s">
        <v>580</v>
      </c>
      <c r="Z504">
        <v>2017</v>
      </c>
      <c r="AB504">
        <v>12</v>
      </c>
      <c r="AC504">
        <v>5.39</v>
      </c>
      <c r="AE504" t="s">
        <v>346</v>
      </c>
      <c r="AF504">
        <v>46.142674</v>
      </c>
      <c r="AG504">
        <v>-115.598088</v>
      </c>
      <c r="AH504">
        <v>14579839</v>
      </c>
    </row>
    <row r="505" spans="2:34">
      <c r="B505" t="s">
        <v>345</v>
      </c>
      <c r="C505" t="s">
        <v>848</v>
      </c>
      <c r="D505" s="3">
        <v>42843.3</v>
      </c>
      <c r="F505">
        <v>2017</v>
      </c>
      <c r="G505" t="s">
        <v>578</v>
      </c>
      <c r="H505" t="s">
        <v>352</v>
      </c>
      <c r="J505">
        <v>0</v>
      </c>
      <c r="L505">
        <v>1</v>
      </c>
      <c r="M505">
        <v>145</v>
      </c>
      <c r="N505">
        <v>28</v>
      </c>
      <c r="O505" t="s">
        <v>575</v>
      </c>
      <c r="Q505" t="s">
        <v>855</v>
      </c>
      <c r="R505" t="s">
        <v>850</v>
      </c>
      <c r="U505">
        <v>5</v>
      </c>
      <c r="V505">
        <v>5</v>
      </c>
      <c r="W505" t="s">
        <v>350</v>
      </c>
      <c r="X505" t="s">
        <v>349</v>
      </c>
      <c r="Y505" t="s">
        <v>580</v>
      </c>
      <c r="Z505">
        <v>2017</v>
      </c>
      <c r="AB505">
        <v>12</v>
      </c>
      <c r="AC505">
        <v>5.39</v>
      </c>
      <c r="AE505" t="s">
        <v>346</v>
      </c>
      <c r="AF505">
        <v>46.142674</v>
      </c>
      <c r="AG505">
        <v>-115.598088</v>
      </c>
      <c r="AH505">
        <v>14579840</v>
      </c>
    </row>
    <row r="506" spans="2:34">
      <c r="B506" t="s">
        <v>345</v>
      </c>
      <c r="C506" t="s">
        <v>848</v>
      </c>
      <c r="D506" s="3">
        <v>42843.3</v>
      </c>
      <c r="F506">
        <v>2017</v>
      </c>
      <c r="G506" t="s">
        <v>578</v>
      </c>
      <c r="H506" t="s">
        <v>352</v>
      </c>
      <c r="J506">
        <v>0</v>
      </c>
      <c r="L506">
        <v>1</v>
      </c>
      <c r="M506">
        <v>198</v>
      </c>
      <c r="N506">
        <v>55</v>
      </c>
      <c r="O506" t="s">
        <v>575</v>
      </c>
      <c r="Q506" t="s">
        <v>856</v>
      </c>
      <c r="R506" t="s">
        <v>850</v>
      </c>
      <c r="U506">
        <v>5</v>
      </c>
      <c r="V506">
        <v>5</v>
      </c>
      <c r="W506" t="s">
        <v>350</v>
      </c>
      <c r="X506" t="s">
        <v>349</v>
      </c>
      <c r="Y506" t="s">
        <v>580</v>
      </c>
      <c r="Z506">
        <v>2017</v>
      </c>
      <c r="AB506">
        <v>12</v>
      </c>
      <c r="AC506">
        <v>5.39</v>
      </c>
      <c r="AE506" t="s">
        <v>346</v>
      </c>
      <c r="AF506">
        <v>46.142674</v>
      </c>
      <c r="AG506">
        <v>-115.598088</v>
      </c>
      <c r="AH506">
        <v>14579841</v>
      </c>
    </row>
    <row r="507" spans="2:34">
      <c r="B507" t="s">
        <v>345</v>
      </c>
      <c r="C507" t="s">
        <v>848</v>
      </c>
      <c r="D507" s="3">
        <v>42843.3</v>
      </c>
      <c r="F507">
        <v>2017</v>
      </c>
      <c r="G507" t="s">
        <v>578</v>
      </c>
      <c r="H507" t="s">
        <v>352</v>
      </c>
      <c r="J507">
        <v>0</v>
      </c>
      <c r="L507">
        <v>1</v>
      </c>
      <c r="M507">
        <v>171</v>
      </c>
      <c r="N507">
        <v>49</v>
      </c>
      <c r="O507" t="s">
        <v>575</v>
      </c>
      <c r="Q507" t="s">
        <v>857</v>
      </c>
      <c r="R507" t="s">
        <v>850</v>
      </c>
      <c r="U507">
        <v>5</v>
      </c>
      <c r="V507">
        <v>5</v>
      </c>
      <c r="W507" t="s">
        <v>350</v>
      </c>
      <c r="X507" t="s">
        <v>349</v>
      </c>
      <c r="Y507" t="s">
        <v>580</v>
      </c>
      <c r="Z507">
        <v>2017</v>
      </c>
      <c r="AB507">
        <v>12</v>
      </c>
      <c r="AC507">
        <v>5.39</v>
      </c>
      <c r="AE507" t="s">
        <v>346</v>
      </c>
      <c r="AF507">
        <v>46.142674</v>
      </c>
      <c r="AG507">
        <v>-115.598088</v>
      </c>
      <c r="AH507">
        <v>14579842</v>
      </c>
    </row>
    <row r="508" spans="2:34">
      <c r="B508" t="s">
        <v>345</v>
      </c>
      <c r="C508" t="s">
        <v>848</v>
      </c>
      <c r="D508" s="3">
        <v>42843.3</v>
      </c>
      <c r="F508">
        <v>2017</v>
      </c>
      <c r="G508" t="s">
        <v>574</v>
      </c>
      <c r="H508" t="s">
        <v>352</v>
      </c>
      <c r="J508">
        <v>0</v>
      </c>
      <c r="L508">
        <v>1</v>
      </c>
      <c r="M508">
        <v>83</v>
      </c>
      <c r="N508">
        <v>5</v>
      </c>
      <c r="O508" t="s">
        <v>575</v>
      </c>
      <c r="Q508" t="s">
        <v>576</v>
      </c>
      <c r="R508" t="s">
        <v>850</v>
      </c>
      <c r="U508">
        <v>5</v>
      </c>
      <c r="V508">
        <v>5</v>
      </c>
      <c r="W508" t="s">
        <v>350</v>
      </c>
      <c r="X508" t="s">
        <v>349</v>
      </c>
      <c r="Y508" t="s">
        <v>580</v>
      </c>
      <c r="Z508">
        <v>2017</v>
      </c>
      <c r="AB508">
        <v>12</v>
      </c>
      <c r="AC508">
        <v>5.39</v>
      </c>
      <c r="AE508" t="s">
        <v>346</v>
      </c>
      <c r="AF508">
        <v>46.142674</v>
      </c>
      <c r="AG508">
        <v>-115.598088</v>
      </c>
      <c r="AH508">
        <v>14579843</v>
      </c>
    </row>
    <row r="509" spans="2:34">
      <c r="B509" t="s">
        <v>345</v>
      </c>
      <c r="C509" t="s">
        <v>848</v>
      </c>
      <c r="D509" s="3">
        <v>42843.3</v>
      </c>
      <c r="F509">
        <v>2017</v>
      </c>
      <c r="G509" t="s">
        <v>351</v>
      </c>
      <c r="H509" t="s">
        <v>352</v>
      </c>
      <c r="J509">
        <v>0</v>
      </c>
      <c r="L509">
        <v>1</v>
      </c>
      <c r="M509">
        <v>141</v>
      </c>
      <c r="N509">
        <v>5</v>
      </c>
      <c r="O509" t="s">
        <v>353</v>
      </c>
      <c r="R509" t="s">
        <v>850</v>
      </c>
      <c r="U509">
        <v>5</v>
      </c>
      <c r="V509">
        <v>5</v>
      </c>
      <c r="W509" t="s">
        <v>350</v>
      </c>
      <c r="X509" t="s">
        <v>349</v>
      </c>
      <c r="Y509" t="s">
        <v>580</v>
      </c>
      <c r="Z509">
        <v>2017</v>
      </c>
      <c r="AB509">
        <v>12</v>
      </c>
      <c r="AC509">
        <v>5.39</v>
      </c>
      <c r="AE509" t="s">
        <v>346</v>
      </c>
      <c r="AF509">
        <v>46.142674</v>
      </c>
      <c r="AG509">
        <v>-115.598088</v>
      </c>
      <c r="AH509">
        <v>14579844</v>
      </c>
    </row>
    <row r="510" spans="2:34">
      <c r="B510" t="s">
        <v>345</v>
      </c>
      <c r="C510" t="s">
        <v>827</v>
      </c>
      <c r="D510" s="3">
        <v>42816.490972222222</v>
      </c>
      <c r="F510">
        <v>2017</v>
      </c>
      <c r="G510" t="s">
        <v>605</v>
      </c>
      <c r="H510" t="s">
        <v>352</v>
      </c>
      <c r="J510">
        <v>0</v>
      </c>
      <c r="L510">
        <v>1</v>
      </c>
      <c r="M510">
        <v>38</v>
      </c>
      <c r="N510">
        <v>0</v>
      </c>
      <c r="O510" t="s">
        <v>353</v>
      </c>
      <c r="U510">
        <v>5</v>
      </c>
      <c r="V510">
        <v>5</v>
      </c>
      <c r="W510" t="s">
        <v>350</v>
      </c>
      <c r="X510" t="s">
        <v>349</v>
      </c>
      <c r="Y510" t="s">
        <v>580</v>
      </c>
      <c r="Z510">
        <v>2017</v>
      </c>
      <c r="AB510">
        <v>12</v>
      </c>
      <c r="AC510">
        <v>7.42</v>
      </c>
      <c r="AE510" t="s">
        <v>346</v>
      </c>
      <c r="AF510">
        <v>46.142674</v>
      </c>
      <c r="AG510">
        <v>-115.598088</v>
      </c>
      <c r="AH510">
        <v>14653439</v>
      </c>
    </row>
    <row r="511" spans="2:34">
      <c r="B511" t="s">
        <v>345</v>
      </c>
      <c r="C511" t="s">
        <v>858</v>
      </c>
      <c r="D511" s="3">
        <v>42861.305555555555</v>
      </c>
      <c r="F511">
        <v>2017</v>
      </c>
      <c r="G511" t="s">
        <v>605</v>
      </c>
      <c r="H511" t="s">
        <v>352</v>
      </c>
      <c r="J511">
        <v>0</v>
      </c>
      <c r="L511">
        <v>3</v>
      </c>
      <c r="M511">
        <v>0</v>
      </c>
      <c r="N511">
        <v>0</v>
      </c>
      <c r="O511" t="s">
        <v>353</v>
      </c>
      <c r="R511" t="s">
        <v>859</v>
      </c>
      <c r="U511">
        <v>7</v>
      </c>
      <c r="V511">
        <v>7</v>
      </c>
      <c r="W511" t="s">
        <v>350</v>
      </c>
      <c r="X511" t="s">
        <v>349</v>
      </c>
      <c r="Y511" t="s">
        <v>580</v>
      </c>
      <c r="Z511">
        <v>2017</v>
      </c>
      <c r="AB511">
        <v>13</v>
      </c>
      <c r="AC511">
        <v>8.0500000000000007</v>
      </c>
      <c r="AE511" t="s">
        <v>346</v>
      </c>
      <c r="AF511">
        <v>46.142674</v>
      </c>
      <c r="AG511">
        <v>-115.598088</v>
      </c>
      <c r="AH511">
        <v>14689990</v>
      </c>
    </row>
    <row r="512" spans="2:34">
      <c r="B512" t="s">
        <v>345</v>
      </c>
      <c r="C512" t="s">
        <v>858</v>
      </c>
      <c r="D512" s="3">
        <v>42861.305555555555</v>
      </c>
      <c r="F512">
        <v>2017</v>
      </c>
      <c r="G512" t="s">
        <v>578</v>
      </c>
      <c r="H512" t="s">
        <v>352</v>
      </c>
      <c r="J512">
        <v>0</v>
      </c>
      <c r="L512">
        <v>1</v>
      </c>
      <c r="M512">
        <v>160</v>
      </c>
      <c r="N512">
        <v>40</v>
      </c>
      <c r="O512" t="s">
        <v>575</v>
      </c>
      <c r="Q512" t="s">
        <v>576</v>
      </c>
      <c r="R512" t="s">
        <v>859</v>
      </c>
      <c r="U512">
        <v>7</v>
      </c>
      <c r="V512">
        <v>7</v>
      </c>
      <c r="W512" t="s">
        <v>350</v>
      </c>
      <c r="X512" t="s">
        <v>349</v>
      </c>
      <c r="Y512" t="s">
        <v>580</v>
      </c>
      <c r="Z512">
        <v>2017</v>
      </c>
      <c r="AB512">
        <v>13</v>
      </c>
      <c r="AC512">
        <v>8.0500000000000007</v>
      </c>
      <c r="AE512" t="s">
        <v>346</v>
      </c>
      <c r="AF512">
        <v>46.142674</v>
      </c>
      <c r="AG512">
        <v>-115.598088</v>
      </c>
      <c r="AH512">
        <v>14689991</v>
      </c>
    </row>
    <row r="513" spans="2:34">
      <c r="B513" t="s">
        <v>345</v>
      </c>
      <c r="C513" t="s">
        <v>858</v>
      </c>
      <c r="D513" s="3">
        <v>42861.305555555555</v>
      </c>
      <c r="F513">
        <v>2017</v>
      </c>
      <c r="G513" t="s">
        <v>578</v>
      </c>
      <c r="H513" t="s">
        <v>352</v>
      </c>
      <c r="J513">
        <v>0</v>
      </c>
      <c r="L513">
        <v>1</v>
      </c>
      <c r="M513">
        <v>158</v>
      </c>
      <c r="N513">
        <v>36</v>
      </c>
      <c r="O513" t="s">
        <v>575</v>
      </c>
      <c r="Q513" t="s">
        <v>576</v>
      </c>
      <c r="R513" t="s">
        <v>859</v>
      </c>
      <c r="U513">
        <v>7</v>
      </c>
      <c r="V513">
        <v>7</v>
      </c>
      <c r="W513" t="s">
        <v>350</v>
      </c>
      <c r="X513" t="s">
        <v>349</v>
      </c>
      <c r="Y513" t="s">
        <v>580</v>
      </c>
      <c r="Z513">
        <v>2017</v>
      </c>
      <c r="AB513">
        <v>13</v>
      </c>
      <c r="AC513">
        <v>8.0500000000000007</v>
      </c>
      <c r="AE513" t="s">
        <v>346</v>
      </c>
      <c r="AF513">
        <v>46.142674</v>
      </c>
      <c r="AG513">
        <v>-115.598088</v>
      </c>
      <c r="AH513">
        <v>14689992</v>
      </c>
    </row>
    <row r="514" spans="2:34">
      <c r="B514" t="s">
        <v>345</v>
      </c>
      <c r="C514" t="s">
        <v>858</v>
      </c>
      <c r="D514" s="3">
        <v>42861.305555555555</v>
      </c>
      <c r="F514">
        <v>2017</v>
      </c>
      <c r="G514" t="s">
        <v>578</v>
      </c>
      <c r="H514" t="s">
        <v>352</v>
      </c>
      <c r="J514">
        <v>0</v>
      </c>
      <c r="L514">
        <v>1</v>
      </c>
      <c r="M514">
        <v>152</v>
      </c>
      <c r="N514">
        <v>35</v>
      </c>
      <c r="O514" t="s">
        <v>575</v>
      </c>
      <c r="Q514" t="s">
        <v>576</v>
      </c>
      <c r="R514" t="s">
        <v>859</v>
      </c>
      <c r="U514">
        <v>7</v>
      </c>
      <c r="V514">
        <v>7</v>
      </c>
      <c r="W514" t="s">
        <v>350</v>
      </c>
      <c r="X514" t="s">
        <v>349</v>
      </c>
      <c r="Y514" t="s">
        <v>580</v>
      </c>
      <c r="Z514">
        <v>2017</v>
      </c>
      <c r="AB514">
        <v>13</v>
      </c>
      <c r="AC514">
        <v>8.0500000000000007</v>
      </c>
      <c r="AE514" t="s">
        <v>346</v>
      </c>
      <c r="AF514">
        <v>46.142674</v>
      </c>
      <c r="AG514">
        <v>-115.598088</v>
      </c>
      <c r="AH514">
        <v>14689993</v>
      </c>
    </row>
    <row r="515" spans="2:34">
      <c r="B515" t="s">
        <v>345</v>
      </c>
      <c r="C515" t="s">
        <v>858</v>
      </c>
      <c r="D515" s="3">
        <v>42861.305555555555</v>
      </c>
      <c r="F515">
        <v>2017</v>
      </c>
      <c r="G515" t="s">
        <v>578</v>
      </c>
      <c r="H515" t="s">
        <v>352</v>
      </c>
      <c r="J515">
        <v>0</v>
      </c>
      <c r="L515">
        <v>1</v>
      </c>
      <c r="M515">
        <v>150</v>
      </c>
      <c r="N515">
        <v>31</v>
      </c>
      <c r="O515" t="s">
        <v>575</v>
      </c>
      <c r="Q515" t="s">
        <v>576</v>
      </c>
      <c r="R515" t="s">
        <v>859</v>
      </c>
      <c r="U515">
        <v>7</v>
      </c>
      <c r="V515">
        <v>7</v>
      </c>
      <c r="W515" t="s">
        <v>350</v>
      </c>
      <c r="X515" t="s">
        <v>349</v>
      </c>
      <c r="Y515" t="s">
        <v>580</v>
      </c>
      <c r="Z515">
        <v>2017</v>
      </c>
      <c r="AB515">
        <v>13</v>
      </c>
      <c r="AC515">
        <v>8.0500000000000007</v>
      </c>
      <c r="AE515" t="s">
        <v>346</v>
      </c>
      <c r="AF515">
        <v>46.142674</v>
      </c>
      <c r="AG515">
        <v>-115.598088</v>
      </c>
      <c r="AH515">
        <v>14689994</v>
      </c>
    </row>
    <row r="516" spans="2:34">
      <c r="B516" t="s">
        <v>345</v>
      </c>
      <c r="C516" t="s">
        <v>858</v>
      </c>
      <c r="D516" s="3">
        <v>42861.305555555555</v>
      </c>
      <c r="F516">
        <v>2017</v>
      </c>
      <c r="G516" t="s">
        <v>578</v>
      </c>
      <c r="H516" t="s">
        <v>352</v>
      </c>
      <c r="J516">
        <v>0</v>
      </c>
      <c r="L516">
        <v>1</v>
      </c>
      <c r="M516">
        <v>166</v>
      </c>
      <c r="N516">
        <v>46</v>
      </c>
      <c r="O516" t="s">
        <v>575</v>
      </c>
      <c r="Q516" t="s">
        <v>860</v>
      </c>
      <c r="R516" t="s">
        <v>859</v>
      </c>
      <c r="U516">
        <v>7</v>
      </c>
      <c r="V516">
        <v>7</v>
      </c>
      <c r="W516" t="s">
        <v>350</v>
      </c>
      <c r="X516" t="s">
        <v>349</v>
      </c>
      <c r="Y516" t="s">
        <v>580</v>
      </c>
      <c r="Z516">
        <v>2017</v>
      </c>
      <c r="AB516">
        <v>13</v>
      </c>
      <c r="AC516">
        <v>8.0500000000000007</v>
      </c>
      <c r="AE516" t="s">
        <v>346</v>
      </c>
      <c r="AF516">
        <v>46.142674</v>
      </c>
      <c r="AG516">
        <v>-115.598088</v>
      </c>
      <c r="AH516">
        <v>14689995</v>
      </c>
    </row>
    <row r="517" spans="2:34">
      <c r="B517" t="s">
        <v>345</v>
      </c>
      <c r="C517" t="s">
        <v>858</v>
      </c>
      <c r="D517" s="3">
        <v>42861.305555555555</v>
      </c>
      <c r="F517">
        <v>2017</v>
      </c>
      <c r="G517" t="s">
        <v>578</v>
      </c>
      <c r="H517" t="s">
        <v>352</v>
      </c>
      <c r="J517">
        <v>0</v>
      </c>
      <c r="L517">
        <v>1</v>
      </c>
      <c r="M517">
        <v>164</v>
      </c>
      <c r="N517">
        <v>38</v>
      </c>
      <c r="O517" t="s">
        <v>575</v>
      </c>
      <c r="Q517" t="s">
        <v>576</v>
      </c>
      <c r="R517" t="s">
        <v>859</v>
      </c>
      <c r="U517">
        <v>7</v>
      </c>
      <c r="V517">
        <v>7</v>
      </c>
      <c r="W517" t="s">
        <v>350</v>
      </c>
      <c r="X517" t="s">
        <v>349</v>
      </c>
      <c r="Y517" t="s">
        <v>580</v>
      </c>
      <c r="Z517">
        <v>2017</v>
      </c>
      <c r="AB517">
        <v>13</v>
      </c>
      <c r="AC517">
        <v>8.0500000000000007</v>
      </c>
      <c r="AE517" t="s">
        <v>346</v>
      </c>
      <c r="AF517">
        <v>46.142674</v>
      </c>
      <c r="AG517">
        <v>-115.598088</v>
      </c>
      <c r="AH517">
        <v>14689996</v>
      </c>
    </row>
    <row r="518" spans="2:34">
      <c r="B518" t="s">
        <v>345</v>
      </c>
      <c r="C518" t="s">
        <v>858</v>
      </c>
      <c r="D518" s="3">
        <v>42861.305555555555</v>
      </c>
      <c r="F518">
        <v>2017</v>
      </c>
      <c r="G518" t="s">
        <v>578</v>
      </c>
      <c r="H518" t="s">
        <v>352</v>
      </c>
      <c r="J518">
        <v>0</v>
      </c>
      <c r="L518">
        <v>1</v>
      </c>
      <c r="M518">
        <v>185</v>
      </c>
      <c r="N518">
        <v>56</v>
      </c>
      <c r="O518" t="s">
        <v>575</v>
      </c>
      <c r="Q518" t="s">
        <v>576</v>
      </c>
      <c r="R518" t="s">
        <v>859</v>
      </c>
      <c r="U518">
        <v>7</v>
      </c>
      <c r="V518">
        <v>7</v>
      </c>
      <c r="W518" t="s">
        <v>350</v>
      </c>
      <c r="X518" t="s">
        <v>349</v>
      </c>
      <c r="Y518" t="s">
        <v>580</v>
      </c>
      <c r="Z518">
        <v>2017</v>
      </c>
      <c r="AB518">
        <v>13</v>
      </c>
      <c r="AC518">
        <v>8.0500000000000007</v>
      </c>
      <c r="AE518" t="s">
        <v>346</v>
      </c>
      <c r="AF518">
        <v>46.142674</v>
      </c>
      <c r="AG518">
        <v>-115.598088</v>
      </c>
      <c r="AH518">
        <v>14689997</v>
      </c>
    </row>
    <row r="519" spans="2:34">
      <c r="B519" t="s">
        <v>345</v>
      </c>
      <c r="C519" t="s">
        <v>858</v>
      </c>
      <c r="D519" s="3">
        <v>42861.305555555555</v>
      </c>
      <c r="F519">
        <v>2017</v>
      </c>
      <c r="G519" t="s">
        <v>578</v>
      </c>
      <c r="H519" t="s">
        <v>352</v>
      </c>
      <c r="J519">
        <v>0</v>
      </c>
      <c r="L519">
        <v>1</v>
      </c>
      <c r="M519">
        <v>161</v>
      </c>
      <c r="N519">
        <v>38</v>
      </c>
      <c r="O519" t="s">
        <v>575</v>
      </c>
      <c r="Q519" t="s">
        <v>576</v>
      </c>
      <c r="R519" t="s">
        <v>859</v>
      </c>
      <c r="U519">
        <v>7</v>
      </c>
      <c r="V519">
        <v>7</v>
      </c>
      <c r="W519" t="s">
        <v>350</v>
      </c>
      <c r="X519" t="s">
        <v>349</v>
      </c>
      <c r="Y519" t="s">
        <v>580</v>
      </c>
      <c r="Z519">
        <v>2017</v>
      </c>
      <c r="AB519">
        <v>13</v>
      </c>
      <c r="AC519">
        <v>8.0500000000000007</v>
      </c>
      <c r="AE519" t="s">
        <v>346</v>
      </c>
      <c r="AF519">
        <v>46.142674</v>
      </c>
      <c r="AG519">
        <v>-115.598088</v>
      </c>
      <c r="AH519">
        <v>14689998</v>
      </c>
    </row>
    <row r="520" spans="2:34">
      <c r="B520" t="s">
        <v>345</v>
      </c>
      <c r="C520" t="s">
        <v>858</v>
      </c>
      <c r="D520" s="3">
        <v>42861.305555555555</v>
      </c>
      <c r="F520">
        <v>2017</v>
      </c>
      <c r="G520" t="s">
        <v>578</v>
      </c>
      <c r="H520" t="s">
        <v>352</v>
      </c>
      <c r="J520">
        <v>0</v>
      </c>
      <c r="L520">
        <v>1</v>
      </c>
      <c r="M520">
        <v>183</v>
      </c>
      <c r="N520">
        <v>56</v>
      </c>
      <c r="O520" t="s">
        <v>575</v>
      </c>
      <c r="Q520" t="s">
        <v>861</v>
      </c>
      <c r="R520" t="s">
        <v>859</v>
      </c>
      <c r="U520">
        <v>7</v>
      </c>
      <c r="V520">
        <v>7</v>
      </c>
      <c r="W520" t="s">
        <v>350</v>
      </c>
      <c r="X520" t="s">
        <v>349</v>
      </c>
      <c r="Y520" t="s">
        <v>580</v>
      </c>
      <c r="Z520">
        <v>2017</v>
      </c>
      <c r="AB520">
        <v>13</v>
      </c>
      <c r="AC520">
        <v>8.0500000000000007</v>
      </c>
      <c r="AE520" t="s">
        <v>346</v>
      </c>
      <c r="AF520">
        <v>46.142674</v>
      </c>
      <c r="AG520">
        <v>-115.598088</v>
      </c>
      <c r="AH520">
        <v>14689999</v>
      </c>
    </row>
    <row r="521" spans="2:34">
      <c r="B521" t="s">
        <v>345</v>
      </c>
      <c r="C521" t="s">
        <v>858</v>
      </c>
      <c r="D521" s="3">
        <v>42861.305555555555</v>
      </c>
      <c r="F521">
        <v>2017</v>
      </c>
      <c r="G521" t="s">
        <v>605</v>
      </c>
      <c r="H521" t="s">
        <v>352</v>
      </c>
      <c r="J521">
        <v>0</v>
      </c>
      <c r="L521">
        <v>1</v>
      </c>
      <c r="M521">
        <v>75</v>
      </c>
      <c r="N521">
        <v>5</v>
      </c>
      <c r="O521" t="s">
        <v>353</v>
      </c>
      <c r="R521" t="s">
        <v>859</v>
      </c>
      <c r="U521">
        <v>7</v>
      </c>
      <c r="V521">
        <v>7</v>
      </c>
      <c r="W521" t="s">
        <v>350</v>
      </c>
      <c r="X521" t="s">
        <v>349</v>
      </c>
      <c r="Y521" t="s">
        <v>580</v>
      </c>
      <c r="Z521">
        <v>2017</v>
      </c>
      <c r="AB521">
        <v>13</v>
      </c>
      <c r="AC521">
        <v>8.0500000000000007</v>
      </c>
      <c r="AE521" t="s">
        <v>346</v>
      </c>
      <c r="AF521">
        <v>46.142674</v>
      </c>
      <c r="AG521">
        <v>-115.598088</v>
      </c>
      <c r="AH521">
        <v>14690000</v>
      </c>
    </row>
    <row r="522" spans="2:34">
      <c r="B522" t="s">
        <v>345</v>
      </c>
      <c r="C522" t="s">
        <v>858</v>
      </c>
      <c r="D522" s="3">
        <v>42861.305555555555</v>
      </c>
      <c r="F522">
        <v>2017</v>
      </c>
      <c r="G522" t="s">
        <v>578</v>
      </c>
      <c r="H522" t="s">
        <v>352</v>
      </c>
      <c r="J522">
        <v>0</v>
      </c>
      <c r="L522">
        <v>1</v>
      </c>
      <c r="M522">
        <v>165</v>
      </c>
      <c r="N522">
        <v>40</v>
      </c>
      <c r="O522" t="s">
        <v>575</v>
      </c>
      <c r="Q522" t="s">
        <v>576</v>
      </c>
      <c r="R522" t="s">
        <v>859</v>
      </c>
      <c r="U522">
        <v>7</v>
      </c>
      <c r="V522">
        <v>7</v>
      </c>
      <c r="W522" t="s">
        <v>350</v>
      </c>
      <c r="X522" t="s">
        <v>349</v>
      </c>
      <c r="Y522" t="s">
        <v>580</v>
      </c>
      <c r="Z522">
        <v>2017</v>
      </c>
      <c r="AB522">
        <v>13</v>
      </c>
      <c r="AC522">
        <v>8.0500000000000007</v>
      </c>
      <c r="AE522" t="s">
        <v>346</v>
      </c>
      <c r="AF522">
        <v>46.142674</v>
      </c>
      <c r="AG522">
        <v>-115.598088</v>
      </c>
      <c r="AH522">
        <v>14690001</v>
      </c>
    </row>
    <row r="523" spans="2:34">
      <c r="B523" t="s">
        <v>345</v>
      </c>
      <c r="C523" t="s">
        <v>858</v>
      </c>
      <c r="D523" s="3">
        <v>42861.305555555555</v>
      </c>
      <c r="F523">
        <v>2017</v>
      </c>
      <c r="G523" t="s">
        <v>578</v>
      </c>
      <c r="H523" t="s">
        <v>352</v>
      </c>
      <c r="J523">
        <v>0</v>
      </c>
      <c r="L523">
        <v>1</v>
      </c>
      <c r="M523">
        <v>193</v>
      </c>
      <c r="N523">
        <v>57</v>
      </c>
      <c r="O523" t="s">
        <v>575</v>
      </c>
      <c r="Q523" t="s">
        <v>862</v>
      </c>
      <c r="R523" t="s">
        <v>859</v>
      </c>
      <c r="U523">
        <v>7</v>
      </c>
      <c r="V523">
        <v>7</v>
      </c>
      <c r="W523" t="s">
        <v>350</v>
      </c>
      <c r="X523" t="s">
        <v>349</v>
      </c>
      <c r="Y523" t="s">
        <v>580</v>
      </c>
      <c r="Z523">
        <v>2017</v>
      </c>
      <c r="AB523">
        <v>13</v>
      </c>
      <c r="AC523">
        <v>8.0500000000000007</v>
      </c>
      <c r="AE523" t="s">
        <v>346</v>
      </c>
      <c r="AF523">
        <v>46.142674</v>
      </c>
      <c r="AG523">
        <v>-115.598088</v>
      </c>
      <c r="AH523">
        <v>14690002</v>
      </c>
    </row>
    <row r="524" spans="2:34">
      <c r="B524" t="s">
        <v>345</v>
      </c>
      <c r="C524" t="s">
        <v>858</v>
      </c>
      <c r="D524" s="3">
        <v>42861.305555555555</v>
      </c>
      <c r="F524">
        <v>2017</v>
      </c>
      <c r="G524" t="s">
        <v>578</v>
      </c>
      <c r="H524" t="s">
        <v>352</v>
      </c>
      <c r="J524">
        <v>0</v>
      </c>
      <c r="L524">
        <v>1</v>
      </c>
      <c r="M524">
        <v>171</v>
      </c>
      <c r="N524">
        <v>49</v>
      </c>
      <c r="O524" t="s">
        <v>575</v>
      </c>
      <c r="Q524" t="s">
        <v>863</v>
      </c>
      <c r="R524" t="s">
        <v>859</v>
      </c>
      <c r="U524">
        <v>7</v>
      </c>
      <c r="V524">
        <v>7</v>
      </c>
      <c r="W524" t="s">
        <v>350</v>
      </c>
      <c r="X524" t="s">
        <v>349</v>
      </c>
      <c r="Y524" t="s">
        <v>580</v>
      </c>
      <c r="Z524">
        <v>2017</v>
      </c>
      <c r="AB524">
        <v>13</v>
      </c>
      <c r="AC524">
        <v>8.0500000000000007</v>
      </c>
      <c r="AE524" t="s">
        <v>346</v>
      </c>
      <c r="AF524">
        <v>46.142674</v>
      </c>
      <c r="AG524">
        <v>-115.598088</v>
      </c>
      <c r="AH524">
        <v>14690003</v>
      </c>
    </row>
    <row r="525" spans="2:34">
      <c r="B525" t="s">
        <v>345</v>
      </c>
      <c r="C525" t="s">
        <v>858</v>
      </c>
      <c r="D525" s="3">
        <v>42861.305555555555</v>
      </c>
      <c r="F525">
        <v>2017</v>
      </c>
      <c r="G525" t="s">
        <v>578</v>
      </c>
      <c r="H525" t="s">
        <v>352</v>
      </c>
      <c r="J525">
        <v>0</v>
      </c>
      <c r="L525">
        <v>1</v>
      </c>
      <c r="M525">
        <v>167</v>
      </c>
      <c r="N525">
        <v>43</v>
      </c>
      <c r="O525" t="s">
        <v>575</v>
      </c>
      <c r="Q525" t="s">
        <v>576</v>
      </c>
      <c r="R525" t="s">
        <v>859</v>
      </c>
      <c r="U525">
        <v>7</v>
      </c>
      <c r="V525">
        <v>7</v>
      </c>
      <c r="W525" t="s">
        <v>350</v>
      </c>
      <c r="X525" t="s">
        <v>349</v>
      </c>
      <c r="Y525" t="s">
        <v>580</v>
      </c>
      <c r="Z525">
        <v>2017</v>
      </c>
      <c r="AB525">
        <v>13</v>
      </c>
      <c r="AC525">
        <v>8.0500000000000007</v>
      </c>
      <c r="AE525" t="s">
        <v>346</v>
      </c>
      <c r="AF525">
        <v>46.142674</v>
      </c>
      <c r="AG525">
        <v>-115.598088</v>
      </c>
      <c r="AH525">
        <v>14690004</v>
      </c>
    </row>
    <row r="526" spans="2:34">
      <c r="B526" t="s">
        <v>345</v>
      </c>
      <c r="C526" t="s">
        <v>858</v>
      </c>
      <c r="D526" s="3">
        <v>42861.305555555555</v>
      </c>
      <c r="F526">
        <v>2017</v>
      </c>
      <c r="G526" t="s">
        <v>578</v>
      </c>
      <c r="H526" t="s">
        <v>352</v>
      </c>
      <c r="J526">
        <v>0</v>
      </c>
      <c r="L526">
        <v>1</v>
      </c>
      <c r="M526">
        <v>153</v>
      </c>
      <c r="N526">
        <v>35</v>
      </c>
      <c r="O526" t="s">
        <v>575</v>
      </c>
      <c r="Q526" t="s">
        <v>576</v>
      </c>
      <c r="R526" t="s">
        <v>859</v>
      </c>
      <c r="U526">
        <v>7</v>
      </c>
      <c r="V526">
        <v>7</v>
      </c>
      <c r="W526" t="s">
        <v>350</v>
      </c>
      <c r="X526" t="s">
        <v>349</v>
      </c>
      <c r="Y526" t="s">
        <v>580</v>
      </c>
      <c r="Z526">
        <v>2017</v>
      </c>
      <c r="AB526">
        <v>13</v>
      </c>
      <c r="AC526">
        <v>8.0500000000000007</v>
      </c>
      <c r="AE526" t="s">
        <v>346</v>
      </c>
      <c r="AF526">
        <v>46.142674</v>
      </c>
      <c r="AG526">
        <v>-115.598088</v>
      </c>
      <c r="AH526">
        <v>14690005</v>
      </c>
    </row>
    <row r="527" spans="2:34">
      <c r="B527" t="s">
        <v>345</v>
      </c>
      <c r="C527" t="s">
        <v>858</v>
      </c>
      <c r="D527" s="3">
        <v>42861.305555555555</v>
      </c>
      <c r="F527">
        <v>2017</v>
      </c>
      <c r="G527" t="s">
        <v>578</v>
      </c>
      <c r="H527" t="s">
        <v>352</v>
      </c>
      <c r="J527">
        <v>0</v>
      </c>
      <c r="L527">
        <v>1</v>
      </c>
      <c r="M527">
        <v>185</v>
      </c>
      <c r="N527">
        <v>61</v>
      </c>
      <c r="O527" t="s">
        <v>575</v>
      </c>
      <c r="Q527" t="s">
        <v>576</v>
      </c>
      <c r="R527" t="s">
        <v>859</v>
      </c>
      <c r="U527">
        <v>7</v>
      </c>
      <c r="V527">
        <v>7</v>
      </c>
      <c r="W527" t="s">
        <v>350</v>
      </c>
      <c r="X527" t="s">
        <v>349</v>
      </c>
      <c r="Y527" t="s">
        <v>580</v>
      </c>
      <c r="Z527">
        <v>2017</v>
      </c>
      <c r="AB527">
        <v>13</v>
      </c>
      <c r="AC527">
        <v>8.0500000000000007</v>
      </c>
      <c r="AE527" t="s">
        <v>346</v>
      </c>
      <c r="AF527">
        <v>46.142674</v>
      </c>
      <c r="AG527">
        <v>-115.598088</v>
      </c>
      <c r="AH527">
        <v>14690006</v>
      </c>
    </row>
    <row r="528" spans="2:34">
      <c r="B528" t="s">
        <v>345</v>
      </c>
      <c r="C528" t="s">
        <v>858</v>
      </c>
      <c r="D528" s="3">
        <v>42861.305555555555</v>
      </c>
      <c r="F528">
        <v>2017</v>
      </c>
      <c r="G528" t="s">
        <v>578</v>
      </c>
      <c r="H528" t="s">
        <v>352</v>
      </c>
      <c r="J528">
        <v>0</v>
      </c>
      <c r="L528">
        <v>1</v>
      </c>
      <c r="M528">
        <v>146</v>
      </c>
      <c r="N528">
        <v>28</v>
      </c>
      <c r="O528" t="s">
        <v>575</v>
      </c>
      <c r="Q528" t="s">
        <v>576</v>
      </c>
      <c r="R528" t="s">
        <v>859</v>
      </c>
      <c r="U528">
        <v>7</v>
      </c>
      <c r="V528">
        <v>7</v>
      </c>
      <c r="W528" t="s">
        <v>350</v>
      </c>
      <c r="X528" t="s">
        <v>349</v>
      </c>
      <c r="Y528" t="s">
        <v>580</v>
      </c>
      <c r="Z528">
        <v>2017</v>
      </c>
      <c r="AB528">
        <v>13</v>
      </c>
      <c r="AC528">
        <v>8.0500000000000007</v>
      </c>
      <c r="AE528" t="s">
        <v>346</v>
      </c>
      <c r="AF528">
        <v>46.142674</v>
      </c>
      <c r="AG528">
        <v>-115.598088</v>
      </c>
      <c r="AH528">
        <v>14690007</v>
      </c>
    </row>
    <row r="529" spans="2:34">
      <c r="B529" t="s">
        <v>345</v>
      </c>
      <c r="C529" t="s">
        <v>858</v>
      </c>
      <c r="D529" s="3">
        <v>42861.305555555555</v>
      </c>
      <c r="F529">
        <v>2017</v>
      </c>
      <c r="G529" t="s">
        <v>578</v>
      </c>
      <c r="H529" t="s">
        <v>352</v>
      </c>
      <c r="J529">
        <v>0</v>
      </c>
      <c r="L529">
        <v>1</v>
      </c>
      <c r="M529">
        <v>159</v>
      </c>
      <c r="N529">
        <v>40</v>
      </c>
      <c r="O529" t="s">
        <v>575</v>
      </c>
      <c r="Q529" t="s">
        <v>576</v>
      </c>
      <c r="R529" t="s">
        <v>859</v>
      </c>
      <c r="U529">
        <v>7</v>
      </c>
      <c r="V529">
        <v>7</v>
      </c>
      <c r="W529" t="s">
        <v>350</v>
      </c>
      <c r="X529" t="s">
        <v>349</v>
      </c>
      <c r="Y529" t="s">
        <v>580</v>
      </c>
      <c r="Z529">
        <v>2017</v>
      </c>
      <c r="AB529">
        <v>13</v>
      </c>
      <c r="AC529">
        <v>8.0500000000000007</v>
      </c>
      <c r="AE529" t="s">
        <v>346</v>
      </c>
      <c r="AF529">
        <v>46.142674</v>
      </c>
      <c r="AG529">
        <v>-115.598088</v>
      </c>
      <c r="AH529">
        <v>14690008</v>
      </c>
    </row>
    <row r="530" spans="2:34">
      <c r="B530" t="s">
        <v>345</v>
      </c>
      <c r="C530" t="s">
        <v>858</v>
      </c>
      <c r="D530" s="3">
        <v>42861.305555555555</v>
      </c>
      <c r="F530">
        <v>2017</v>
      </c>
      <c r="G530" t="s">
        <v>578</v>
      </c>
      <c r="H530" t="s">
        <v>352</v>
      </c>
      <c r="J530">
        <v>0</v>
      </c>
      <c r="L530">
        <v>1</v>
      </c>
      <c r="M530">
        <v>186</v>
      </c>
      <c r="N530">
        <v>62</v>
      </c>
      <c r="O530" t="s">
        <v>575</v>
      </c>
      <c r="Q530" t="s">
        <v>864</v>
      </c>
      <c r="R530" t="s">
        <v>859</v>
      </c>
      <c r="U530">
        <v>7</v>
      </c>
      <c r="V530">
        <v>7</v>
      </c>
      <c r="W530" t="s">
        <v>350</v>
      </c>
      <c r="X530" t="s">
        <v>349</v>
      </c>
      <c r="Y530" t="s">
        <v>580</v>
      </c>
      <c r="Z530">
        <v>2017</v>
      </c>
      <c r="AB530">
        <v>13</v>
      </c>
      <c r="AC530">
        <v>8.0500000000000007</v>
      </c>
      <c r="AE530" t="s">
        <v>346</v>
      </c>
      <c r="AF530">
        <v>46.142674</v>
      </c>
      <c r="AG530">
        <v>-115.598088</v>
      </c>
      <c r="AH530">
        <v>14690009</v>
      </c>
    </row>
    <row r="531" spans="2:34">
      <c r="B531" t="s">
        <v>345</v>
      </c>
      <c r="C531" t="s">
        <v>858</v>
      </c>
      <c r="D531" s="3">
        <v>42861.305555555555</v>
      </c>
      <c r="F531">
        <v>2017</v>
      </c>
      <c r="G531" t="s">
        <v>578</v>
      </c>
      <c r="H531" t="s">
        <v>352</v>
      </c>
      <c r="J531">
        <v>0</v>
      </c>
      <c r="L531">
        <v>1</v>
      </c>
      <c r="M531">
        <v>156</v>
      </c>
      <c r="N531">
        <v>39</v>
      </c>
      <c r="O531" t="s">
        <v>575</v>
      </c>
      <c r="Q531" t="s">
        <v>576</v>
      </c>
      <c r="R531" t="s">
        <v>859</v>
      </c>
      <c r="U531">
        <v>7</v>
      </c>
      <c r="V531">
        <v>7</v>
      </c>
      <c r="W531" t="s">
        <v>350</v>
      </c>
      <c r="X531" t="s">
        <v>349</v>
      </c>
      <c r="Y531" t="s">
        <v>580</v>
      </c>
      <c r="Z531">
        <v>2017</v>
      </c>
      <c r="AB531">
        <v>13</v>
      </c>
      <c r="AC531">
        <v>8.0500000000000007</v>
      </c>
      <c r="AE531" t="s">
        <v>346</v>
      </c>
      <c r="AF531">
        <v>46.142674</v>
      </c>
      <c r="AG531">
        <v>-115.598088</v>
      </c>
      <c r="AH531">
        <v>14690010</v>
      </c>
    </row>
    <row r="532" spans="2:34">
      <c r="B532" t="s">
        <v>345</v>
      </c>
      <c r="C532" t="s">
        <v>858</v>
      </c>
      <c r="D532" s="3">
        <v>42861.305555555555</v>
      </c>
      <c r="F532">
        <v>2017</v>
      </c>
      <c r="G532" t="s">
        <v>578</v>
      </c>
      <c r="H532" t="s">
        <v>352</v>
      </c>
      <c r="J532">
        <v>0</v>
      </c>
      <c r="L532">
        <v>1</v>
      </c>
      <c r="M532">
        <v>156</v>
      </c>
      <c r="N532">
        <v>34</v>
      </c>
      <c r="O532" t="s">
        <v>575</v>
      </c>
      <c r="Q532" t="s">
        <v>865</v>
      </c>
      <c r="R532" t="s">
        <v>859</v>
      </c>
      <c r="U532">
        <v>7</v>
      </c>
      <c r="V532">
        <v>7</v>
      </c>
      <c r="W532" t="s">
        <v>350</v>
      </c>
      <c r="X532" t="s">
        <v>349</v>
      </c>
      <c r="Y532" t="s">
        <v>580</v>
      </c>
      <c r="Z532">
        <v>2017</v>
      </c>
      <c r="AB532">
        <v>13</v>
      </c>
      <c r="AC532">
        <v>8.0500000000000007</v>
      </c>
      <c r="AE532" t="s">
        <v>346</v>
      </c>
      <c r="AF532">
        <v>46.142674</v>
      </c>
      <c r="AG532">
        <v>-115.598088</v>
      </c>
      <c r="AH532">
        <v>14690011</v>
      </c>
    </row>
    <row r="533" spans="2:34">
      <c r="B533" t="s">
        <v>345</v>
      </c>
      <c r="C533" t="s">
        <v>858</v>
      </c>
      <c r="D533" s="3">
        <v>42861.305555555555</v>
      </c>
      <c r="F533">
        <v>2017</v>
      </c>
      <c r="G533" t="s">
        <v>578</v>
      </c>
      <c r="H533" t="s">
        <v>352</v>
      </c>
      <c r="J533">
        <v>0</v>
      </c>
      <c r="L533">
        <v>1</v>
      </c>
      <c r="M533">
        <v>170</v>
      </c>
      <c r="N533">
        <v>46</v>
      </c>
      <c r="O533" t="s">
        <v>575</v>
      </c>
      <c r="Q533" t="s">
        <v>576</v>
      </c>
      <c r="R533" t="s">
        <v>859</v>
      </c>
      <c r="U533">
        <v>7</v>
      </c>
      <c r="V533">
        <v>7</v>
      </c>
      <c r="W533" t="s">
        <v>350</v>
      </c>
      <c r="X533" t="s">
        <v>349</v>
      </c>
      <c r="Y533" t="s">
        <v>580</v>
      </c>
      <c r="Z533">
        <v>2017</v>
      </c>
      <c r="AB533">
        <v>13</v>
      </c>
      <c r="AC533">
        <v>8.0500000000000007</v>
      </c>
      <c r="AE533" t="s">
        <v>346</v>
      </c>
      <c r="AF533">
        <v>46.142674</v>
      </c>
      <c r="AG533">
        <v>-115.598088</v>
      </c>
      <c r="AH533">
        <v>14690012</v>
      </c>
    </row>
    <row r="534" spans="2:34">
      <c r="B534" t="s">
        <v>345</v>
      </c>
      <c r="C534" t="s">
        <v>858</v>
      </c>
      <c r="D534" s="3">
        <v>42861.305555555555</v>
      </c>
      <c r="F534">
        <v>2017</v>
      </c>
      <c r="G534" t="s">
        <v>578</v>
      </c>
      <c r="H534" t="s">
        <v>352</v>
      </c>
      <c r="J534">
        <v>0</v>
      </c>
      <c r="L534">
        <v>1</v>
      </c>
      <c r="M534">
        <v>179</v>
      </c>
      <c r="N534">
        <v>56</v>
      </c>
      <c r="O534" t="s">
        <v>575</v>
      </c>
      <c r="Q534" t="s">
        <v>576</v>
      </c>
      <c r="R534" t="s">
        <v>859</v>
      </c>
      <c r="U534">
        <v>7</v>
      </c>
      <c r="V534">
        <v>7</v>
      </c>
      <c r="W534" t="s">
        <v>350</v>
      </c>
      <c r="X534" t="s">
        <v>349</v>
      </c>
      <c r="Y534" t="s">
        <v>580</v>
      </c>
      <c r="Z534">
        <v>2017</v>
      </c>
      <c r="AB534">
        <v>13</v>
      </c>
      <c r="AC534">
        <v>8.0500000000000007</v>
      </c>
      <c r="AE534" t="s">
        <v>346</v>
      </c>
      <c r="AF534">
        <v>46.142674</v>
      </c>
      <c r="AG534">
        <v>-115.598088</v>
      </c>
      <c r="AH534">
        <v>14690013</v>
      </c>
    </row>
    <row r="535" spans="2:34">
      <c r="B535" t="s">
        <v>345</v>
      </c>
      <c r="C535" t="s">
        <v>858</v>
      </c>
      <c r="D535" s="3">
        <v>42861.305555555555</v>
      </c>
      <c r="F535">
        <v>2017</v>
      </c>
      <c r="G535" t="s">
        <v>578</v>
      </c>
      <c r="H535" t="s">
        <v>352</v>
      </c>
      <c r="J535">
        <v>0</v>
      </c>
      <c r="L535">
        <v>1</v>
      </c>
      <c r="M535">
        <v>146</v>
      </c>
      <c r="N535">
        <v>30</v>
      </c>
      <c r="O535" t="s">
        <v>575</v>
      </c>
      <c r="Q535" t="s">
        <v>576</v>
      </c>
      <c r="R535" t="s">
        <v>859</v>
      </c>
      <c r="U535">
        <v>7</v>
      </c>
      <c r="V535">
        <v>7</v>
      </c>
      <c r="W535" t="s">
        <v>350</v>
      </c>
      <c r="X535" t="s">
        <v>349</v>
      </c>
      <c r="Y535" t="s">
        <v>580</v>
      </c>
      <c r="Z535">
        <v>2017</v>
      </c>
      <c r="AB535">
        <v>13</v>
      </c>
      <c r="AC535">
        <v>8.0500000000000007</v>
      </c>
      <c r="AE535" t="s">
        <v>346</v>
      </c>
      <c r="AF535">
        <v>46.142674</v>
      </c>
      <c r="AG535">
        <v>-115.598088</v>
      </c>
      <c r="AH535">
        <v>14690014</v>
      </c>
    </row>
    <row r="536" spans="2:34">
      <c r="B536" t="s">
        <v>345</v>
      </c>
      <c r="C536" t="s">
        <v>858</v>
      </c>
      <c r="D536" s="3">
        <v>42861.305555555555</v>
      </c>
      <c r="F536">
        <v>2017</v>
      </c>
      <c r="G536" t="s">
        <v>578</v>
      </c>
      <c r="H536" t="s">
        <v>352</v>
      </c>
      <c r="J536">
        <v>0</v>
      </c>
      <c r="L536">
        <v>1</v>
      </c>
      <c r="M536">
        <v>176</v>
      </c>
      <c r="N536">
        <v>38</v>
      </c>
      <c r="O536" t="s">
        <v>575</v>
      </c>
      <c r="Q536" t="s">
        <v>576</v>
      </c>
      <c r="R536" t="s">
        <v>859</v>
      </c>
      <c r="U536">
        <v>7</v>
      </c>
      <c r="V536">
        <v>7</v>
      </c>
      <c r="W536" t="s">
        <v>350</v>
      </c>
      <c r="X536" t="s">
        <v>349</v>
      </c>
      <c r="Y536" t="s">
        <v>580</v>
      </c>
      <c r="Z536">
        <v>2017</v>
      </c>
      <c r="AB536">
        <v>13</v>
      </c>
      <c r="AC536">
        <v>8.0500000000000007</v>
      </c>
      <c r="AE536" t="s">
        <v>346</v>
      </c>
      <c r="AF536">
        <v>46.142674</v>
      </c>
      <c r="AG536">
        <v>-115.598088</v>
      </c>
      <c r="AH536">
        <v>14690015</v>
      </c>
    </row>
    <row r="537" spans="2:34">
      <c r="B537" t="s">
        <v>345</v>
      </c>
      <c r="C537" t="s">
        <v>858</v>
      </c>
      <c r="D537" s="3">
        <v>42861.305555555555</v>
      </c>
      <c r="F537">
        <v>2017</v>
      </c>
      <c r="G537" t="s">
        <v>578</v>
      </c>
      <c r="H537" t="s">
        <v>352</v>
      </c>
      <c r="J537">
        <v>0</v>
      </c>
      <c r="L537">
        <v>1</v>
      </c>
      <c r="M537">
        <v>175</v>
      </c>
      <c r="N537">
        <v>50</v>
      </c>
      <c r="O537" t="s">
        <v>575</v>
      </c>
      <c r="Q537" t="s">
        <v>866</v>
      </c>
      <c r="R537" t="s">
        <v>859</v>
      </c>
      <c r="U537">
        <v>7</v>
      </c>
      <c r="V537">
        <v>7</v>
      </c>
      <c r="W537" t="s">
        <v>350</v>
      </c>
      <c r="X537" t="s">
        <v>349</v>
      </c>
      <c r="Y537" t="s">
        <v>580</v>
      </c>
      <c r="Z537">
        <v>2017</v>
      </c>
      <c r="AB537">
        <v>13</v>
      </c>
      <c r="AC537">
        <v>8.0500000000000007</v>
      </c>
      <c r="AE537" t="s">
        <v>346</v>
      </c>
      <c r="AF537">
        <v>46.142674</v>
      </c>
      <c r="AG537">
        <v>-115.598088</v>
      </c>
      <c r="AH537">
        <v>14690016</v>
      </c>
    </row>
    <row r="538" spans="2:34">
      <c r="B538" t="s">
        <v>345</v>
      </c>
      <c r="C538" t="s">
        <v>858</v>
      </c>
      <c r="D538" s="3">
        <v>42861.305555555555</v>
      </c>
      <c r="F538">
        <v>2017</v>
      </c>
      <c r="G538" t="s">
        <v>578</v>
      </c>
      <c r="H538" t="s">
        <v>352</v>
      </c>
      <c r="J538">
        <v>0</v>
      </c>
      <c r="L538">
        <v>1</v>
      </c>
      <c r="M538">
        <v>181</v>
      </c>
      <c r="N538">
        <v>52</v>
      </c>
      <c r="O538" t="s">
        <v>575</v>
      </c>
      <c r="Q538" t="s">
        <v>576</v>
      </c>
      <c r="R538" t="s">
        <v>859</v>
      </c>
      <c r="U538">
        <v>7</v>
      </c>
      <c r="V538">
        <v>7</v>
      </c>
      <c r="W538" t="s">
        <v>350</v>
      </c>
      <c r="X538" t="s">
        <v>349</v>
      </c>
      <c r="Y538" t="s">
        <v>580</v>
      </c>
      <c r="Z538">
        <v>2017</v>
      </c>
      <c r="AB538">
        <v>13</v>
      </c>
      <c r="AC538">
        <v>8.0500000000000007</v>
      </c>
      <c r="AE538" t="s">
        <v>346</v>
      </c>
      <c r="AF538">
        <v>46.142674</v>
      </c>
      <c r="AG538">
        <v>-115.598088</v>
      </c>
      <c r="AH538">
        <v>14690017</v>
      </c>
    </row>
    <row r="539" spans="2:34">
      <c r="B539" t="s">
        <v>345</v>
      </c>
      <c r="C539" t="s">
        <v>858</v>
      </c>
      <c r="D539" s="3">
        <v>42861.305555555555</v>
      </c>
      <c r="F539">
        <v>2017</v>
      </c>
      <c r="G539" t="s">
        <v>578</v>
      </c>
      <c r="H539" t="s">
        <v>352</v>
      </c>
      <c r="J539">
        <v>0</v>
      </c>
      <c r="L539">
        <v>1</v>
      </c>
      <c r="M539">
        <v>184</v>
      </c>
      <c r="N539">
        <v>63</v>
      </c>
      <c r="O539" t="s">
        <v>575</v>
      </c>
      <c r="Q539" t="s">
        <v>867</v>
      </c>
      <c r="R539" t="s">
        <v>859</v>
      </c>
      <c r="U539">
        <v>7</v>
      </c>
      <c r="V539">
        <v>7</v>
      </c>
      <c r="W539" t="s">
        <v>350</v>
      </c>
      <c r="X539" t="s">
        <v>349</v>
      </c>
      <c r="Y539" t="s">
        <v>580</v>
      </c>
      <c r="Z539">
        <v>2017</v>
      </c>
      <c r="AB539">
        <v>13</v>
      </c>
      <c r="AC539">
        <v>8.0500000000000007</v>
      </c>
      <c r="AE539" t="s">
        <v>346</v>
      </c>
      <c r="AF539">
        <v>46.142674</v>
      </c>
      <c r="AG539">
        <v>-115.598088</v>
      </c>
      <c r="AH539">
        <v>14690018</v>
      </c>
    </row>
    <row r="540" spans="2:34">
      <c r="B540" t="s">
        <v>345</v>
      </c>
      <c r="C540" t="s">
        <v>858</v>
      </c>
      <c r="D540" s="3">
        <v>42861.305555555555</v>
      </c>
      <c r="F540">
        <v>2017</v>
      </c>
      <c r="G540" t="s">
        <v>578</v>
      </c>
      <c r="H540" t="s">
        <v>352</v>
      </c>
      <c r="J540">
        <v>0</v>
      </c>
      <c r="L540">
        <v>1</v>
      </c>
      <c r="M540">
        <v>171</v>
      </c>
      <c r="N540">
        <v>46</v>
      </c>
      <c r="O540" t="s">
        <v>575</v>
      </c>
      <c r="Q540" t="s">
        <v>868</v>
      </c>
      <c r="R540" t="s">
        <v>859</v>
      </c>
      <c r="U540">
        <v>7</v>
      </c>
      <c r="V540">
        <v>7</v>
      </c>
      <c r="W540" t="s">
        <v>350</v>
      </c>
      <c r="X540" t="s">
        <v>349</v>
      </c>
      <c r="Y540" t="s">
        <v>580</v>
      </c>
      <c r="Z540">
        <v>2017</v>
      </c>
      <c r="AB540">
        <v>13</v>
      </c>
      <c r="AC540">
        <v>8.0500000000000007</v>
      </c>
      <c r="AE540" t="s">
        <v>346</v>
      </c>
      <c r="AF540">
        <v>46.142674</v>
      </c>
      <c r="AG540">
        <v>-115.598088</v>
      </c>
      <c r="AH540">
        <v>14690019</v>
      </c>
    </row>
    <row r="541" spans="2:34">
      <c r="B541" t="s">
        <v>345</v>
      </c>
      <c r="C541" t="s">
        <v>858</v>
      </c>
      <c r="D541" s="3">
        <v>42861.305555555555</v>
      </c>
      <c r="F541">
        <v>2017</v>
      </c>
      <c r="G541" t="s">
        <v>578</v>
      </c>
      <c r="H541" t="s">
        <v>352</v>
      </c>
      <c r="J541">
        <v>0</v>
      </c>
      <c r="L541">
        <v>1</v>
      </c>
      <c r="M541">
        <v>185</v>
      </c>
      <c r="N541">
        <v>60</v>
      </c>
      <c r="O541" t="s">
        <v>575</v>
      </c>
      <c r="Q541" t="s">
        <v>576</v>
      </c>
      <c r="R541" t="s">
        <v>859</v>
      </c>
      <c r="U541">
        <v>7</v>
      </c>
      <c r="V541">
        <v>7</v>
      </c>
      <c r="W541" t="s">
        <v>350</v>
      </c>
      <c r="X541" t="s">
        <v>349</v>
      </c>
      <c r="Y541" t="s">
        <v>580</v>
      </c>
      <c r="Z541">
        <v>2017</v>
      </c>
      <c r="AB541">
        <v>13</v>
      </c>
      <c r="AC541">
        <v>8.0500000000000007</v>
      </c>
      <c r="AE541" t="s">
        <v>346</v>
      </c>
      <c r="AF541">
        <v>46.142674</v>
      </c>
      <c r="AG541">
        <v>-115.598088</v>
      </c>
      <c r="AH541">
        <v>14690020</v>
      </c>
    </row>
    <row r="542" spans="2:34">
      <c r="B542" t="s">
        <v>345</v>
      </c>
      <c r="C542" t="s">
        <v>858</v>
      </c>
      <c r="D542" s="3">
        <v>42861.305555555555</v>
      </c>
      <c r="F542">
        <v>2017</v>
      </c>
      <c r="G542" t="s">
        <v>578</v>
      </c>
      <c r="H542" t="s">
        <v>352</v>
      </c>
      <c r="J542">
        <v>0</v>
      </c>
      <c r="L542">
        <v>1</v>
      </c>
      <c r="M542">
        <v>180</v>
      </c>
      <c r="N542">
        <v>58</v>
      </c>
      <c r="O542" t="s">
        <v>575</v>
      </c>
      <c r="Q542" t="s">
        <v>576</v>
      </c>
      <c r="R542" t="s">
        <v>859</v>
      </c>
      <c r="U542">
        <v>7</v>
      </c>
      <c r="V542">
        <v>7</v>
      </c>
      <c r="W542" t="s">
        <v>350</v>
      </c>
      <c r="X542" t="s">
        <v>349</v>
      </c>
      <c r="Y542" t="s">
        <v>580</v>
      </c>
      <c r="Z542">
        <v>2017</v>
      </c>
      <c r="AB542">
        <v>13</v>
      </c>
      <c r="AC542">
        <v>8.0500000000000007</v>
      </c>
      <c r="AE542" t="s">
        <v>346</v>
      </c>
      <c r="AF542">
        <v>46.142674</v>
      </c>
      <c r="AG542">
        <v>-115.598088</v>
      </c>
      <c r="AH542">
        <v>14690021</v>
      </c>
    </row>
    <row r="543" spans="2:34">
      <c r="B543" t="s">
        <v>345</v>
      </c>
      <c r="C543" t="s">
        <v>858</v>
      </c>
      <c r="D543" s="3">
        <v>42861.305555555555</v>
      </c>
      <c r="F543">
        <v>2017</v>
      </c>
      <c r="G543" t="s">
        <v>578</v>
      </c>
      <c r="H543" t="s">
        <v>352</v>
      </c>
      <c r="J543">
        <v>0</v>
      </c>
      <c r="L543">
        <v>1</v>
      </c>
      <c r="M543">
        <v>152</v>
      </c>
      <c r="N543">
        <v>29</v>
      </c>
      <c r="O543" t="s">
        <v>575</v>
      </c>
      <c r="Q543" t="s">
        <v>576</v>
      </c>
      <c r="R543" t="s">
        <v>859</v>
      </c>
      <c r="U543">
        <v>7</v>
      </c>
      <c r="V543">
        <v>7</v>
      </c>
      <c r="W543" t="s">
        <v>350</v>
      </c>
      <c r="X543" t="s">
        <v>349</v>
      </c>
      <c r="Y543" t="s">
        <v>580</v>
      </c>
      <c r="Z543">
        <v>2017</v>
      </c>
      <c r="AB543">
        <v>13</v>
      </c>
      <c r="AC543">
        <v>8.0500000000000007</v>
      </c>
      <c r="AE543" t="s">
        <v>346</v>
      </c>
      <c r="AF543">
        <v>46.142674</v>
      </c>
      <c r="AG543">
        <v>-115.598088</v>
      </c>
      <c r="AH543">
        <v>14690022</v>
      </c>
    </row>
    <row r="544" spans="2:34">
      <c r="B544" t="s">
        <v>345</v>
      </c>
      <c r="C544" t="s">
        <v>858</v>
      </c>
      <c r="D544" s="3">
        <v>42861.305555555555</v>
      </c>
      <c r="F544">
        <v>2017</v>
      </c>
      <c r="G544" t="s">
        <v>578</v>
      </c>
      <c r="H544" t="s">
        <v>352</v>
      </c>
      <c r="J544">
        <v>0</v>
      </c>
      <c r="L544">
        <v>1</v>
      </c>
      <c r="M544">
        <v>182</v>
      </c>
      <c r="N544">
        <v>57</v>
      </c>
      <c r="O544" t="s">
        <v>575</v>
      </c>
      <c r="Q544" t="s">
        <v>869</v>
      </c>
      <c r="R544" t="s">
        <v>859</v>
      </c>
      <c r="U544">
        <v>7</v>
      </c>
      <c r="V544">
        <v>7</v>
      </c>
      <c r="W544" t="s">
        <v>350</v>
      </c>
      <c r="X544" t="s">
        <v>349</v>
      </c>
      <c r="Y544" t="s">
        <v>580</v>
      </c>
      <c r="Z544">
        <v>2017</v>
      </c>
      <c r="AB544">
        <v>13</v>
      </c>
      <c r="AC544">
        <v>8.0500000000000007</v>
      </c>
      <c r="AE544" t="s">
        <v>346</v>
      </c>
      <c r="AF544">
        <v>46.142674</v>
      </c>
      <c r="AG544">
        <v>-115.598088</v>
      </c>
      <c r="AH544">
        <v>14690023</v>
      </c>
    </row>
    <row r="545" spans="2:34">
      <c r="B545" t="s">
        <v>345</v>
      </c>
      <c r="C545" t="s">
        <v>858</v>
      </c>
      <c r="D545" s="3">
        <v>42861.305555555555</v>
      </c>
      <c r="F545">
        <v>2017</v>
      </c>
      <c r="G545" t="s">
        <v>605</v>
      </c>
      <c r="H545" t="s">
        <v>352</v>
      </c>
      <c r="J545">
        <v>0</v>
      </c>
      <c r="L545">
        <v>1</v>
      </c>
      <c r="M545">
        <v>77</v>
      </c>
      <c r="N545">
        <v>5</v>
      </c>
      <c r="O545" t="s">
        <v>353</v>
      </c>
      <c r="R545" t="s">
        <v>859</v>
      </c>
      <c r="U545">
        <v>7</v>
      </c>
      <c r="V545">
        <v>7</v>
      </c>
      <c r="W545" t="s">
        <v>350</v>
      </c>
      <c r="X545" t="s">
        <v>349</v>
      </c>
      <c r="Y545" t="s">
        <v>580</v>
      </c>
      <c r="Z545">
        <v>2017</v>
      </c>
      <c r="AB545">
        <v>13</v>
      </c>
      <c r="AC545">
        <v>8.0500000000000007</v>
      </c>
      <c r="AE545" t="s">
        <v>346</v>
      </c>
      <c r="AF545">
        <v>46.142674</v>
      </c>
      <c r="AG545">
        <v>-115.598088</v>
      </c>
      <c r="AH545">
        <v>14690024</v>
      </c>
    </row>
    <row r="546" spans="2:34">
      <c r="B546" t="s">
        <v>345</v>
      </c>
      <c r="C546" t="s">
        <v>858</v>
      </c>
      <c r="D546" s="3">
        <v>42861.305555555555</v>
      </c>
      <c r="F546">
        <v>2017</v>
      </c>
      <c r="G546" t="s">
        <v>578</v>
      </c>
      <c r="H546" t="s">
        <v>352</v>
      </c>
      <c r="J546">
        <v>0</v>
      </c>
      <c r="L546">
        <v>1</v>
      </c>
      <c r="M546">
        <v>181</v>
      </c>
      <c r="N546">
        <v>56</v>
      </c>
      <c r="O546" t="s">
        <v>575</v>
      </c>
      <c r="Q546" t="s">
        <v>870</v>
      </c>
      <c r="R546" t="s">
        <v>859</v>
      </c>
      <c r="U546">
        <v>7</v>
      </c>
      <c r="V546">
        <v>7</v>
      </c>
      <c r="W546" t="s">
        <v>350</v>
      </c>
      <c r="X546" t="s">
        <v>349</v>
      </c>
      <c r="Y546" t="s">
        <v>580</v>
      </c>
      <c r="Z546">
        <v>2017</v>
      </c>
      <c r="AB546">
        <v>13</v>
      </c>
      <c r="AC546">
        <v>8.0500000000000007</v>
      </c>
      <c r="AE546" t="s">
        <v>346</v>
      </c>
      <c r="AF546">
        <v>46.142674</v>
      </c>
      <c r="AG546">
        <v>-115.598088</v>
      </c>
      <c r="AH546">
        <v>14690025</v>
      </c>
    </row>
    <row r="547" spans="2:34">
      <c r="B547" t="s">
        <v>345</v>
      </c>
      <c r="C547" t="s">
        <v>858</v>
      </c>
      <c r="D547" s="3">
        <v>42861.305555555555</v>
      </c>
      <c r="F547">
        <v>2017</v>
      </c>
      <c r="G547" t="s">
        <v>578</v>
      </c>
      <c r="H547" t="s">
        <v>352</v>
      </c>
      <c r="J547">
        <v>0</v>
      </c>
      <c r="L547">
        <v>1</v>
      </c>
      <c r="M547">
        <v>162</v>
      </c>
      <c r="N547">
        <v>42</v>
      </c>
      <c r="O547" t="s">
        <v>575</v>
      </c>
      <c r="Q547" t="s">
        <v>871</v>
      </c>
      <c r="R547" t="s">
        <v>859</v>
      </c>
      <c r="U547">
        <v>7</v>
      </c>
      <c r="V547">
        <v>7</v>
      </c>
      <c r="W547" t="s">
        <v>350</v>
      </c>
      <c r="X547" t="s">
        <v>349</v>
      </c>
      <c r="Y547" t="s">
        <v>580</v>
      </c>
      <c r="Z547">
        <v>2017</v>
      </c>
      <c r="AB547">
        <v>13</v>
      </c>
      <c r="AC547">
        <v>8.0500000000000007</v>
      </c>
      <c r="AE547" t="s">
        <v>346</v>
      </c>
      <c r="AF547">
        <v>46.142674</v>
      </c>
      <c r="AG547">
        <v>-115.598088</v>
      </c>
      <c r="AH547">
        <v>14690026</v>
      </c>
    </row>
    <row r="548" spans="2:34">
      <c r="B548" t="s">
        <v>345</v>
      </c>
      <c r="C548" t="s">
        <v>858</v>
      </c>
      <c r="D548" s="3">
        <v>42861.305555555555</v>
      </c>
      <c r="F548">
        <v>2017</v>
      </c>
      <c r="G548" t="s">
        <v>578</v>
      </c>
      <c r="H548" t="s">
        <v>352</v>
      </c>
      <c r="J548">
        <v>0</v>
      </c>
      <c r="L548">
        <v>1</v>
      </c>
      <c r="M548">
        <v>171</v>
      </c>
      <c r="N548">
        <v>47</v>
      </c>
      <c r="O548" t="s">
        <v>575</v>
      </c>
      <c r="Q548" t="s">
        <v>576</v>
      </c>
      <c r="R548" t="s">
        <v>859</v>
      </c>
      <c r="U548">
        <v>7</v>
      </c>
      <c r="V548">
        <v>7</v>
      </c>
      <c r="W548" t="s">
        <v>350</v>
      </c>
      <c r="X548" t="s">
        <v>349</v>
      </c>
      <c r="Y548" t="s">
        <v>580</v>
      </c>
      <c r="Z548">
        <v>2017</v>
      </c>
      <c r="AB548">
        <v>13</v>
      </c>
      <c r="AC548">
        <v>8.0500000000000007</v>
      </c>
      <c r="AE548" t="s">
        <v>346</v>
      </c>
      <c r="AF548">
        <v>46.142674</v>
      </c>
      <c r="AG548">
        <v>-115.598088</v>
      </c>
      <c r="AH548">
        <v>14690027</v>
      </c>
    </row>
    <row r="549" spans="2:34">
      <c r="B549" t="s">
        <v>345</v>
      </c>
      <c r="C549" t="s">
        <v>858</v>
      </c>
      <c r="D549" s="3">
        <v>42861.305555555555</v>
      </c>
      <c r="F549">
        <v>2017</v>
      </c>
      <c r="G549" t="s">
        <v>605</v>
      </c>
      <c r="H549" t="s">
        <v>352</v>
      </c>
      <c r="J549">
        <v>0</v>
      </c>
      <c r="L549">
        <v>1</v>
      </c>
      <c r="M549">
        <v>80</v>
      </c>
      <c r="N549">
        <v>5</v>
      </c>
      <c r="O549" t="s">
        <v>353</v>
      </c>
      <c r="R549" t="s">
        <v>859</v>
      </c>
      <c r="U549">
        <v>7</v>
      </c>
      <c r="V549">
        <v>7</v>
      </c>
      <c r="W549" t="s">
        <v>350</v>
      </c>
      <c r="X549" t="s">
        <v>349</v>
      </c>
      <c r="Y549" t="s">
        <v>580</v>
      </c>
      <c r="Z549">
        <v>2017</v>
      </c>
      <c r="AB549">
        <v>13</v>
      </c>
      <c r="AC549">
        <v>8.0500000000000007</v>
      </c>
      <c r="AE549" t="s">
        <v>346</v>
      </c>
      <c r="AF549">
        <v>46.142674</v>
      </c>
      <c r="AG549">
        <v>-115.598088</v>
      </c>
      <c r="AH549">
        <v>14690028</v>
      </c>
    </row>
    <row r="550" spans="2:34">
      <c r="B550" t="s">
        <v>345</v>
      </c>
      <c r="C550" t="s">
        <v>858</v>
      </c>
      <c r="D550" s="3">
        <v>42861.305555555555</v>
      </c>
      <c r="F550">
        <v>2017</v>
      </c>
      <c r="G550" t="s">
        <v>578</v>
      </c>
      <c r="H550" t="s">
        <v>352</v>
      </c>
      <c r="J550">
        <v>0</v>
      </c>
      <c r="L550">
        <v>1</v>
      </c>
      <c r="M550">
        <v>202</v>
      </c>
      <c r="N550">
        <v>72</v>
      </c>
      <c r="O550" t="s">
        <v>575</v>
      </c>
      <c r="Q550" t="s">
        <v>576</v>
      </c>
      <c r="R550" t="s">
        <v>859</v>
      </c>
      <c r="U550">
        <v>7</v>
      </c>
      <c r="V550">
        <v>7</v>
      </c>
      <c r="W550" t="s">
        <v>350</v>
      </c>
      <c r="X550" t="s">
        <v>349</v>
      </c>
      <c r="Y550" t="s">
        <v>580</v>
      </c>
      <c r="Z550">
        <v>2017</v>
      </c>
      <c r="AB550">
        <v>13</v>
      </c>
      <c r="AC550">
        <v>8.0500000000000007</v>
      </c>
      <c r="AE550" t="s">
        <v>346</v>
      </c>
      <c r="AF550">
        <v>46.142674</v>
      </c>
      <c r="AG550">
        <v>-115.598088</v>
      </c>
      <c r="AH550">
        <v>14690029</v>
      </c>
    </row>
    <row r="551" spans="2:34">
      <c r="B551" t="s">
        <v>345</v>
      </c>
      <c r="C551" t="s">
        <v>858</v>
      </c>
      <c r="D551" s="3">
        <v>42861.305555555555</v>
      </c>
      <c r="F551">
        <v>2017</v>
      </c>
      <c r="G551" t="s">
        <v>605</v>
      </c>
      <c r="H551" t="s">
        <v>352</v>
      </c>
      <c r="J551">
        <v>0</v>
      </c>
      <c r="L551">
        <v>1</v>
      </c>
      <c r="M551">
        <v>85</v>
      </c>
      <c r="N551">
        <v>6</v>
      </c>
      <c r="O551" t="s">
        <v>353</v>
      </c>
      <c r="R551" t="s">
        <v>859</v>
      </c>
      <c r="U551">
        <v>7</v>
      </c>
      <c r="V551">
        <v>7</v>
      </c>
      <c r="W551" t="s">
        <v>350</v>
      </c>
      <c r="X551" t="s">
        <v>349</v>
      </c>
      <c r="Y551" t="s">
        <v>580</v>
      </c>
      <c r="Z551">
        <v>2017</v>
      </c>
      <c r="AB551">
        <v>13</v>
      </c>
      <c r="AC551">
        <v>8.0500000000000007</v>
      </c>
      <c r="AE551" t="s">
        <v>346</v>
      </c>
      <c r="AF551">
        <v>46.142674</v>
      </c>
      <c r="AG551">
        <v>-115.598088</v>
      </c>
      <c r="AH551">
        <v>14690030</v>
      </c>
    </row>
    <row r="552" spans="2:34">
      <c r="B552" t="s">
        <v>345</v>
      </c>
      <c r="C552" t="s">
        <v>858</v>
      </c>
      <c r="D552" s="3">
        <v>42861.305555555555</v>
      </c>
      <c r="F552">
        <v>2017</v>
      </c>
      <c r="G552" t="s">
        <v>578</v>
      </c>
      <c r="H552" t="s">
        <v>352</v>
      </c>
      <c r="J552">
        <v>0</v>
      </c>
      <c r="L552">
        <v>1</v>
      </c>
      <c r="M552">
        <v>182</v>
      </c>
      <c r="N552">
        <v>58</v>
      </c>
      <c r="O552" t="s">
        <v>575</v>
      </c>
      <c r="Q552" t="s">
        <v>576</v>
      </c>
      <c r="R552" t="s">
        <v>859</v>
      </c>
      <c r="U552">
        <v>7</v>
      </c>
      <c r="V552">
        <v>7</v>
      </c>
      <c r="W552" t="s">
        <v>350</v>
      </c>
      <c r="X552" t="s">
        <v>349</v>
      </c>
      <c r="Y552" t="s">
        <v>580</v>
      </c>
      <c r="Z552">
        <v>2017</v>
      </c>
      <c r="AB552">
        <v>13</v>
      </c>
      <c r="AC552">
        <v>8.0500000000000007</v>
      </c>
      <c r="AE552" t="s">
        <v>346</v>
      </c>
      <c r="AF552">
        <v>46.142674</v>
      </c>
      <c r="AG552">
        <v>-115.598088</v>
      </c>
      <c r="AH552">
        <v>14690031</v>
      </c>
    </row>
    <row r="553" spans="2:34">
      <c r="B553" t="s">
        <v>345</v>
      </c>
      <c r="C553" t="s">
        <v>858</v>
      </c>
      <c r="D553" s="3">
        <v>42861.305555555555</v>
      </c>
      <c r="F553">
        <v>2017</v>
      </c>
      <c r="G553" t="s">
        <v>578</v>
      </c>
      <c r="H553" t="s">
        <v>352</v>
      </c>
      <c r="J553">
        <v>0</v>
      </c>
      <c r="L553">
        <v>1</v>
      </c>
      <c r="M553">
        <v>161</v>
      </c>
      <c r="N553">
        <v>39</v>
      </c>
      <c r="O553" t="s">
        <v>634</v>
      </c>
      <c r="P553" t="s">
        <v>635</v>
      </c>
      <c r="Q553" t="s">
        <v>635</v>
      </c>
      <c r="R553" t="s">
        <v>859</v>
      </c>
      <c r="U553">
        <v>7</v>
      </c>
      <c r="V553">
        <v>7</v>
      </c>
      <c r="W553" t="s">
        <v>350</v>
      </c>
      <c r="X553" t="s">
        <v>349</v>
      </c>
      <c r="Y553" t="s">
        <v>580</v>
      </c>
      <c r="Z553">
        <v>2017</v>
      </c>
      <c r="AB553">
        <v>13</v>
      </c>
      <c r="AC553">
        <v>8.0500000000000007</v>
      </c>
      <c r="AE553" t="s">
        <v>346</v>
      </c>
      <c r="AF553">
        <v>46.142674</v>
      </c>
      <c r="AG553">
        <v>-115.598088</v>
      </c>
      <c r="AH553">
        <v>14690032</v>
      </c>
    </row>
    <row r="554" spans="2:34">
      <c r="B554" t="s">
        <v>345</v>
      </c>
      <c r="C554" t="s">
        <v>858</v>
      </c>
      <c r="D554" s="3">
        <v>42861.305555555555</v>
      </c>
      <c r="F554">
        <v>2017</v>
      </c>
      <c r="G554" t="s">
        <v>578</v>
      </c>
      <c r="H554" t="s">
        <v>352</v>
      </c>
      <c r="J554">
        <v>0</v>
      </c>
      <c r="L554">
        <v>1</v>
      </c>
      <c r="M554">
        <v>211</v>
      </c>
      <c r="N554">
        <v>83</v>
      </c>
      <c r="O554" t="s">
        <v>575</v>
      </c>
      <c r="Q554" t="s">
        <v>576</v>
      </c>
      <c r="R554" t="s">
        <v>859</v>
      </c>
      <c r="U554">
        <v>7</v>
      </c>
      <c r="V554">
        <v>7</v>
      </c>
      <c r="W554" t="s">
        <v>350</v>
      </c>
      <c r="X554" t="s">
        <v>349</v>
      </c>
      <c r="Y554" t="s">
        <v>580</v>
      </c>
      <c r="Z554">
        <v>2017</v>
      </c>
      <c r="AB554">
        <v>13</v>
      </c>
      <c r="AC554">
        <v>8.0500000000000007</v>
      </c>
      <c r="AE554" t="s">
        <v>346</v>
      </c>
      <c r="AF554">
        <v>46.142674</v>
      </c>
      <c r="AG554">
        <v>-115.598088</v>
      </c>
      <c r="AH554">
        <v>14690033</v>
      </c>
    </row>
    <row r="555" spans="2:34">
      <c r="B555" t="s">
        <v>345</v>
      </c>
      <c r="C555" t="s">
        <v>858</v>
      </c>
      <c r="D555" s="3">
        <v>42861.305555555555</v>
      </c>
      <c r="F555">
        <v>2017</v>
      </c>
      <c r="G555" t="s">
        <v>578</v>
      </c>
      <c r="H555" t="s">
        <v>352</v>
      </c>
      <c r="J555">
        <v>0</v>
      </c>
      <c r="L555">
        <v>1</v>
      </c>
      <c r="M555">
        <v>151</v>
      </c>
      <c r="N555">
        <v>34</v>
      </c>
      <c r="O555" t="s">
        <v>575</v>
      </c>
      <c r="Q555" t="s">
        <v>576</v>
      </c>
      <c r="R555" t="s">
        <v>859</v>
      </c>
      <c r="U555">
        <v>7</v>
      </c>
      <c r="V555">
        <v>7</v>
      </c>
      <c r="W555" t="s">
        <v>350</v>
      </c>
      <c r="X555" t="s">
        <v>349</v>
      </c>
      <c r="Y555" t="s">
        <v>580</v>
      </c>
      <c r="Z555">
        <v>2017</v>
      </c>
      <c r="AB555">
        <v>13</v>
      </c>
      <c r="AC555">
        <v>8.0500000000000007</v>
      </c>
      <c r="AE555" t="s">
        <v>346</v>
      </c>
      <c r="AF555">
        <v>46.142674</v>
      </c>
      <c r="AG555">
        <v>-115.598088</v>
      </c>
      <c r="AH555">
        <v>14690034</v>
      </c>
    </row>
    <row r="556" spans="2:34">
      <c r="B556" t="s">
        <v>345</v>
      </c>
      <c r="C556" t="s">
        <v>858</v>
      </c>
      <c r="D556" s="3">
        <v>42861.305555555555</v>
      </c>
      <c r="F556">
        <v>2017</v>
      </c>
      <c r="G556" t="s">
        <v>578</v>
      </c>
      <c r="H556" t="s">
        <v>352</v>
      </c>
      <c r="J556">
        <v>0</v>
      </c>
      <c r="L556">
        <v>1</v>
      </c>
      <c r="M556">
        <v>199</v>
      </c>
      <c r="N556">
        <v>70</v>
      </c>
      <c r="O556" t="s">
        <v>575</v>
      </c>
      <c r="Q556" t="s">
        <v>576</v>
      </c>
      <c r="R556" t="s">
        <v>859</v>
      </c>
      <c r="U556">
        <v>7</v>
      </c>
      <c r="V556">
        <v>7</v>
      </c>
      <c r="W556" t="s">
        <v>350</v>
      </c>
      <c r="X556" t="s">
        <v>349</v>
      </c>
      <c r="Y556" t="s">
        <v>580</v>
      </c>
      <c r="Z556">
        <v>2017</v>
      </c>
      <c r="AB556">
        <v>13</v>
      </c>
      <c r="AC556">
        <v>8.0500000000000007</v>
      </c>
      <c r="AE556" t="s">
        <v>346</v>
      </c>
      <c r="AF556">
        <v>46.142674</v>
      </c>
      <c r="AG556">
        <v>-115.598088</v>
      </c>
      <c r="AH556">
        <v>14690035</v>
      </c>
    </row>
    <row r="557" spans="2:34">
      <c r="B557" t="s">
        <v>345</v>
      </c>
      <c r="C557" t="s">
        <v>858</v>
      </c>
      <c r="D557" s="3">
        <v>42861.305555555555</v>
      </c>
      <c r="F557">
        <v>2017</v>
      </c>
      <c r="G557" t="s">
        <v>578</v>
      </c>
      <c r="H557" t="s">
        <v>352</v>
      </c>
      <c r="J557">
        <v>0</v>
      </c>
      <c r="L557">
        <v>1</v>
      </c>
      <c r="M557">
        <v>200</v>
      </c>
      <c r="N557">
        <v>71</v>
      </c>
      <c r="O557" t="s">
        <v>575</v>
      </c>
      <c r="Q557" t="s">
        <v>872</v>
      </c>
      <c r="R557" t="s">
        <v>859</v>
      </c>
      <c r="U557">
        <v>7</v>
      </c>
      <c r="V557">
        <v>7</v>
      </c>
      <c r="W557" t="s">
        <v>350</v>
      </c>
      <c r="X557" t="s">
        <v>349</v>
      </c>
      <c r="Y557" t="s">
        <v>580</v>
      </c>
      <c r="Z557">
        <v>2017</v>
      </c>
      <c r="AB557">
        <v>13</v>
      </c>
      <c r="AC557">
        <v>8.0500000000000007</v>
      </c>
      <c r="AE557" t="s">
        <v>346</v>
      </c>
      <c r="AF557">
        <v>46.142674</v>
      </c>
      <c r="AG557">
        <v>-115.598088</v>
      </c>
      <c r="AH557">
        <v>14690036</v>
      </c>
    </row>
    <row r="558" spans="2:34">
      <c r="B558" t="s">
        <v>345</v>
      </c>
      <c r="C558" t="s">
        <v>858</v>
      </c>
      <c r="D558" s="3">
        <v>42861.305555555555</v>
      </c>
      <c r="F558">
        <v>2017</v>
      </c>
      <c r="G558" t="s">
        <v>578</v>
      </c>
      <c r="H558" t="s">
        <v>352</v>
      </c>
      <c r="J558">
        <v>0</v>
      </c>
      <c r="L558">
        <v>1</v>
      </c>
      <c r="M558">
        <v>156</v>
      </c>
      <c r="N558">
        <v>37</v>
      </c>
      <c r="O558" t="s">
        <v>575</v>
      </c>
      <c r="Q558" t="s">
        <v>576</v>
      </c>
      <c r="R558" t="s">
        <v>859</v>
      </c>
      <c r="U558">
        <v>7</v>
      </c>
      <c r="V558">
        <v>7</v>
      </c>
      <c r="W558" t="s">
        <v>350</v>
      </c>
      <c r="X558" t="s">
        <v>349</v>
      </c>
      <c r="Y558" t="s">
        <v>580</v>
      </c>
      <c r="Z558">
        <v>2017</v>
      </c>
      <c r="AB558">
        <v>13</v>
      </c>
      <c r="AC558">
        <v>8.0500000000000007</v>
      </c>
      <c r="AE558" t="s">
        <v>346</v>
      </c>
      <c r="AF558">
        <v>46.142674</v>
      </c>
      <c r="AG558">
        <v>-115.598088</v>
      </c>
      <c r="AH558">
        <v>14690037</v>
      </c>
    </row>
    <row r="559" spans="2:34">
      <c r="B559" t="s">
        <v>345</v>
      </c>
      <c r="C559" t="s">
        <v>858</v>
      </c>
      <c r="D559" s="3">
        <v>42861.305555555555</v>
      </c>
      <c r="F559">
        <v>2017</v>
      </c>
      <c r="G559" t="s">
        <v>578</v>
      </c>
      <c r="H559" t="s">
        <v>352</v>
      </c>
      <c r="J559">
        <v>0</v>
      </c>
      <c r="L559">
        <v>1</v>
      </c>
      <c r="M559">
        <v>180</v>
      </c>
      <c r="N559">
        <v>51</v>
      </c>
      <c r="O559" t="s">
        <v>575</v>
      </c>
      <c r="Q559" t="s">
        <v>873</v>
      </c>
      <c r="R559" t="s">
        <v>859</v>
      </c>
      <c r="U559">
        <v>7</v>
      </c>
      <c r="V559">
        <v>7</v>
      </c>
      <c r="W559" t="s">
        <v>350</v>
      </c>
      <c r="X559" t="s">
        <v>349</v>
      </c>
      <c r="Y559" t="s">
        <v>580</v>
      </c>
      <c r="Z559">
        <v>2017</v>
      </c>
      <c r="AB559">
        <v>13</v>
      </c>
      <c r="AC559">
        <v>8.0500000000000007</v>
      </c>
      <c r="AE559" t="s">
        <v>346</v>
      </c>
      <c r="AF559">
        <v>46.142674</v>
      </c>
      <c r="AG559">
        <v>-115.598088</v>
      </c>
      <c r="AH559">
        <v>14690038</v>
      </c>
    </row>
    <row r="560" spans="2:34">
      <c r="B560" t="s">
        <v>345</v>
      </c>
      <c r="C560" t="s">
        <v>858</v>
      </c>
      <c r="D560" s="3">
        <v>42861.305555555555</v>
      </c>
      <c r="F560">
        <v>2017</v>
      </c>
      <c r="G560" t="s">
        <v>578</v>
      </c>
      <c r="H560" t="s">
        <v>352</v>
      </c>
      <c r="J560">
        <v>0</v>
      </c>
      <c r="L560">
        <v>1</v>
      </c>
      <c r="M560">
        <v>160</v>
      </c>
      <c r="N560">
        <v>40</v>
      </c>
      <c r="O560" t="s">
        <v>575</v>
      </c>
      <c r="Q560" t="s">
        <v>576</v>
      </c>
      <c r="R560" t="s">
        <v>859</v>
      </c>
      <c r="U560">
        <v>7</v>
      </c>
      <c r="V560">
        <v>7</v>
      </c>
      <c r="W560" t="s">
        <v>350</v>
      </c>
      <c r="X560" t="s">
        <v>349</v>
      </c>
      <c r="Y560" t="s">
        <v>580</v>
      </c>
      <c r="Z560">
        <v>2017</v>
      </c>
      <c r="AB560">
        <v>13</v>
      </c>
      <c r="AC560">
        <v>8.0500000000000007</v>
      </c>
      <c r="AE560" t="s">
        <v>346</v>
      </c>
      <c r="AF560">
        <v>46.142674</v>
      </c>
      <c r="AG560">
        <v>-115.598088</v>
      </c>
      <c r="AH560">
        <v>14690039</v>
      </c>
    </row>
    <row r="561" spans="2:34">
      <c r="B561" t="s">
        <v>345</v>
      </c>
      <c r="C561" t="s">
        <v>858</v>
      </c>
      <c r="D561" s="3">
        <v>42861.305555555555</v>
      </c>
      <c r="F561">
        <v>2017</v>
      </c>
      <c r="G561" t="s">
        <v>605</v>
      </c>
      <c r="H561" t="s">
        <v>352</v>
      </c>
      <c r="J561">
        <v>0</v>
      </c>
      <c r="L561">
        <v>1</v>
      </c>
      <c r="M561">
        <v>102</v>
      </c>
      <c r="N561">
        <v>12</v>
      </c>
      <c r="O561" t="s">
        <v>353</v>
      </c>
      <c r="R561" t="s">
        <v>859</v>
      </c>
      <c r="U561">
        <v>7</v>
      </c>
      <c r="V561">
        <v>7</v>
      </c>
      <c r="W561" t="s">
        <v>350</v>
      </c>
      <c r="X561" t="s">
        <v>349</v>
      </c>
      <c r="Y561" t="s">
        <v>580</v>
      </c>
      <c r="Z561">
        <v>2017</v>
      </c>
      <c r="AB561">
        <v>13</v>
      </c>
      <c r="AC561">
        <v>8.0500000000000007</v>
      </c>
      <c r="AE561" t="s">
        <v>346</v>
      </c>
      <c r="AF561">
        <v>46.142674</v>
      </c>
      <c r="AG561">
        <v>-115.598088</v>
      </c>
      <c r="AH561">
        <v>14690040</v>
      </c>
    </row>
    <row r="562" spans="2:34">
      <c r="B562" t="s">
        <v>345</v>
      </c>
      <c r="C562" t="s">
        <v>858</v>
      </c>
      <c r="D562" s="3">
        <v>42861.305555555555</v>
      </c>
      <c r="F562">
        <v>2017</v>
      </c>
      <c r="G562" t="s">
        <v>574</v>
      </c>
      <c r="H562" t="s">
        <v>352</v>
      </c>
      <c r="J562">
        <v>0</v>
      </c>
      <c r="L562">
        <v>1</v>
      </c>
      <c r="M562">
        <v>96</v>
      </c>
      <c r="N562">
        <v>9</v>
      </c>
      <c r="O562" t="s">
        <v>575</v>
      </c>
      <c r="Q562" t="s">
        <v>576</v>
      </c>
      <c r="R562" t="s">
        <v>859</v>
      </c>
      <c r="U562">
        <v>7</v>
      </c>
      <c r="V562">
        <v>7</v>
      </c>
      <c r="W562" t="s">
        <v>350</v>
      </c>
      <c r="X562" t="s">
        <v>349</v>
      </c>
      <c r="Y562" t="s">
        <v>580</v>
      </c>
      <c r="Z562">
        <v>2017</v>
      </c>
      <c r="AB562">
        <v>13</v>
      </c>
      <c r="AC562">
        <v>8.0500000000000007</v>
      </c>
      <c r="AE562" t="s">
        <v>346</v>
      </c>
      <c r="AF562">
        <v>46.142674</v>
      </c>
      <c r="AG562">
        <v>-115.598088</v>
      </c>
      <c r="AH562">
        <v>14690041</v>
      </c>
    </row>
    <row r="563" spans="2:34">
      <c r="B563" t="s">
        <v>345</v>
      </c>
      <c r="C563" t="s">
        <v>858</v>
      </c>
      <c r="D563" s="3">
        <v>42861.305555555555</v>
      </c>
      <c r="F563">
        <v>2017</v>
      </c>
      <c r="G563" t="s">
        <v>578</v>
      </c>
      <c r="H563" t="s">
        <v>352</v>
      </c>
      <c r="J563">
        <v>0</v>
      </c>
      <c r="L563">
        <v>1</v>
      </c>
      <c r="M563">
        <v>169</v>
      </c>
      <c r="N563">
        <v>40</v>
      </c>
      <c r="O563" t="s">
        <v>575</v>
      </c>
      <c r="Q563" t="s">
        <v>576</v>
      </c>
      <c r="R563" t="s">
        <v>859</v>
      </c>
      <c r="U563">
        <v>7</v>
      </c>
      <c r="V563">
        <v>7</v>
      </c>
      <c r="W563" t="s">
        <v>350</v>
      </c>
      <c r="X563" t="s">
        <v>349</v>
      </c>
      <c r="Y563" t="s">
        <v>580</v>
      </c>
      <c r="Z563">
        <v>2017</v>
      </c>
      <c r="AB563">
        <v>13</v>
      </c>
      <c r="AC563">
        <v>8.0500000000000007</v>
      </c>
      <c r="AE563" t="s">
        <v>346</v>
      </c>
      <c r="AF563">
        <v>46.142674</v>
      </c>
      <c r="AG563">
        <v>-115.598088</v>
      </c>
      <c r="AH563">
        <v>14690042</v>
      </c>
    </row>
    <row r="564" spans="2:34">
      <c r="B564" t="s">
        <v>345</v>
      </c>
      <c r="C564" t="s">
        <v>858</v>
      </c>
      <c r="D564" s="3">
        <v>42861.305555555555</v>
      </c>
      <c r="F564">
        <v>2017</v>
      </c>
      <c r="G564" t="s">
        <v>578</v>
      </c>
      <c r="H564" t="s">
        <v>352</v>
      </c>
      <c r="J564">
        <v>0</v>
      </c>
      <c r="L564">
        <v>1</v>
      </c>
      <c r="M564">
        <v>162</v>
      </c>
      <c r="N564">
        <v>36</v>
      </c>
      <c r="O564" t="s">
        <v>575</v>
      </c>
      <c r="Q564" t="s">
        <v>576</v>
      </c>
      <c r="R564" t="s">
        <v>859</v>
      </c>
      <c r="U564">
        <v>7</v>
      </c>
      <c r="V564">
        <v>7</v>
      </c>
      <c r="W564" t="s">
        <v>350</v>
      </c>
      <c r="X564" t="s">
        <v>349</v>
      </c>
      <c r="Y564" t="s">
        <v>580</v>
      </c>
      <c r="Z564">
        <v>2017</v>
      </c>
      <c r="AB564">
        <v>13</v>
      </c>
      <c r="AC564">
        <v>8.0500000000000007</v>
      </c>
      <c r="AE564" t="s">
        <v>346</v>
      </c>
      <c r="AF564">
        <v>46.142674</v>
      </c>
      <c r="AG564">
        <v>-115.598088</v>
      </c>
      <c r="AH564">
        <v>14690043</v>
      </c>
    </row>
    <row r="565" spans="2:34">
      <c r="B565" t="s">
        <v>345</v>
      </c>
      <c r="C565" t="s">
        <v>858</v>
      </c>
      <c r="D565" s="3">
        <v>42861.305555555555</v>
      </c>
      <c r="F565">
        <v>2017</v>
      </c>
      <c r="G565" t="s">
        <v>578</v>
      </c>
      <c r="H565" t="s">
        <v>352</v>
      </c>
      <c r="J565">
        <v>0</v>
      </c>
      <c r="L565">
        <v>1</v>
      </c>
      <c r="M565">
        <v>190</v>
      </c>
      <c r="N565">
        <v>65</v>
      </c>
      <c r="O565" t="s">
        <v>575</v>
      </c>
      <c r="Q565" t="s">
        <v>874</v>
      </c>
      <c r="R565" t="s">
        <v>859</v>
      </c>
      <c r="U565">
        <v>7</v>
      </c>
      <c r="V565">
        <v>7</v>
      </c>
      <c r="W565" t="s">
        <v>350</v>
      </c>
      <c r="X565" t="s">
        <v>349</v>
      </c>
      <c r="Y565" t="s">
        <v>580</v>
      </c>
      <c r="Z565">
        <v>2017</v>
      </c>
      <c r="AB565">
        <v>13</v>
      </c>
      <c r="AC565">
        <v>8.0500000000000007</v>
      </c>
      <c r="AE565" t="s">
        <v>346</v>
      </c>
      <c r="AF565">
        <v>46.142674</v>
      </c>
      <c r="AG565">
        <v>-115.598088</v>
      </c>
      <c r="AH565">
        <v>14690044</v>
      </c>
    </row>
    <row r="566" spans="2:34">
      <c r="B566" t="s">
        <v>345</v>
      </c>
      <c r="C566" t="s">
        <v>858</v>
      </c>
      <c r="D566" s="3">
        <v>42861.305555555555</v>
      </c>
      <c r="F566">
        <v>2017</v>
      </c>
      <c r="G566" t="s">
        <v>578</v>
      </c>
      <c r="H566" t="s">
        <v>352</v>
      </c>
      <c r="J566">
        <v>0</v>
      </c>
      <c r="L566">
        <v>1</v>
      </c>
      <c r="M566">
        <v>194</v>
      </c>
      <c r="N566">
        <v>68</v>
      </c>
      <c r="O566" t="s">
        <v>575</v>
      </c>
      <c r="Q566" t="s">
        <v>576</v>
      </c>
      <c r="R566" t="s">
        <v>859</v>
      </c>
      <c r="U566">
        <v>7</v>
      </c>
      <c r="V566">
        <v>7</v>
      </c>
      <c r="W566" t="s">
        <v>350</v>
      </c>
      <c r="X566" t="s">
        <v>349</v>
      </c>
      <c r="Y566" t="s">
        <v>580</v>
      </c>
      <c r="Z566">
        <v>2017</v>
      </c>
      <c r="AB566">
        <v>13</v>
      </c>
      <c r="AC566">
        <v>8.0500000000000007</v>
      </c>
      <c r="AE566" t="s">
        <v>346</v>
      </c>
      <c r="AF566">
        <v>46.142674</v>
      </c>
      <c r="AG566">
        <v>-115.598088</v>
      </c>
      <c r="AH566">
        <v>14690045</v>
      </c>
    </row>
    <row r="567" spans="2:34">
      <c r="B567" t="s">
        <v>345</v>
      </c>
      <c r="C567" t="s">
        <v>858</v>
      </c>
      <c r="D567" s="3">
        <v>42861.305555555555</v>
      </c>
      <c r="F567">
        <v>2017</v>
      </c>
      <c r="G567" t="s">
        <v>578</v>
      </c>
      <c r="H567" t="s">
        <v>352</v>
      </c>
      <c r="J567">
        <v>0</v>
      </c>
      <c r="L567">
        <v>1</v>
      </c>
      <c r="M567">
        <v>170</v>
      </c>
      <c r="N567">
        <v>48</v>
      </c>
      <c r="O567" t="s">
        <v>575</v>
      </c>
      <c r="Q567" t="s">
        <v>576</v>
      </c>
      <c r="R567" t="s">
        <v>859</v>
      </c>
      <c r="U567">
        <v>7</v>
      </c>
      <c r="V567">
        <v>7</v>
      </c>
      <c r="W567" t="s">
        <v>350</v>
      </c>
      <c r="X567" t="s">
        <v>349</v>
      </c>
      <c r="Y567" t="s">
        <v>580</v>
      </c>
      <c r="Z567">
        <v>2017</v>
      </c>
      <c r="AB567">
        <v>13</v>
      </c>
      <c r="AC567">
        <v>8.0500000000000007</v>
      </c>
      <c r="AE567" t="s">
        <v>346</v>
      </c>
      <c r="AF567">
        <v>46.142674</v>
      </c>
      <c r="AG567">
        <v>-115.598088</v>
      </c>
      <c r="AH567">
        <v>14690046</v>
      </c>
    </row>
    <row r="568" spans="2:34">
      <c r="B568" t="s">
        <v>345</v>
      </c>
      <c r="C568" t="s">
        <v>858</v>
      </c>
      <c r="D568" s="3">
        <v>42861.305555555555</v>
      </c>
      <c r="F568">
        <v>2017</v>
      </c>
      <c r="G568" t="s">
        <v>578</v>
      </c>
      <c r="H568" t="s">
        <v>352</v>
      </c>
      <c r="J568">
        <v>0</v>
      </c>
      <c r="L568">
        <v>1</v>
      </c>
      <c r="M568">
        <v>154</v>
      </c>
      <c r="N568">
        <v>35</v>
      </c>
      <c r="O568" t="s">
        <v>575</v>
      </c>
      <c r="Q568" t="s">
        <v>576</v>
      </c>
      <c r="R568" t="s">
        <v>859</v>
      </c>
      <c r="U568">
        <v>7</v>
      </c>
      <c r="V568">
        <v>7</v>
      </c>
      <c r="W568" t="s">
        <v>350</v>
      </c>
      <c r="X568" t="s">
        <v>349</v>
      </c>
      <c r="Y568" t="s">
        <v>580</v>
      </c>
      <c r="Z568">
        <v>2017</v>
      </c>
      <c r="AB568">
        <v>13</v>
      </c>
      <c r="AC568">
        <v>8.0500000000000007</v>
      </c>
      <c r="AE568" t="s">
        <v>346</v>
      </c>
      <c r="AF568">
        <v>46.142674</v>
      </c>
      <c r="AG568">
        <v>-115.598088</v>
      </c>
      <c r="AH568">
        <v>14690047</v>
      </c>
    </row>
    <row r="569" spans="2:34">
      <c r="B569" t="s">
        <v>345</v>
      </c>
      <c r="C569" t="s">
        <v>858</v>
      </c>
      <c r="D569" s="3">
        <v>42861.305555555555</v>
      </c>
      <c r="F569">
        <v>2017</v>
      </c>
      <c r="G569" t="s">
        <v>578</v>
      </c>
      <c r="H569" t="s">
        <v>352</v>
      </c>
      <c r="J569">
        <v>0</v>
      </c>
      <c r="L569">
        <v>1</v>
      </c>
      <c r="M569">
        <v>206</v>
      </c>
      <c r="N569">
        <v>75</v>
      </c>
      <c r="O569" t="s">
        <v>575</v>
      </c>
      <c r="Q569" t="s">
        <v>576</v>
      </c>
      <c r="R569" t="s">
        <v>859</v>
      </c>
      <c r="U569">
        <v>7</v>
      </c>
      <c r="V569">
        <v>7</v>
      </c>
      <c r="W569" t="s">
        <v>350</v>
      </c>
      <c r="X569" t="s">
        <v>349</v>
      </c>
      <c r="Y569" t="s">
        <v>580</v>
      </c>
      <c r="Z569">
        <v>2017</v>
      </c>
      <c r="AB569">
        <v>13</v>
      </c>
      <c r="AC569">
        <v>8.0500000000000007</v>
      </c>
      <c r="AE569" t="s">
        <v>346</v>
      </c>
      <c r="AF569">
        <v>46.142674</v>
      </c>
      <c r="AG569">
        <v>-115.598088</v>
      </c>
      <c r="AH569">
        <v>14690048</v>
      </c>
    </row>
    <row r="570" spans="2:34">
      <c r="B570" t="s">
        <v>345</v>
      </c>
      <c r="C570" t="s">
        <v>858</v>
      </c>
      <c r="D570" s="3">
        <v>42861.305555555555</v>
      </c>
      <c r="F570">
        <v>2017</v>
      </c>
      <c r="G570" t="s">
        <v>578</v>
      </c>
      <c r="H570" t="s">
        <v>352</v>
      </c>
      <c r="J570">
        <v>0</v>
      </c>
      <c r="L570">
        <v>1</v>
      </c>
      <c r="M570">
        <v>160</v>
      </c>
      <c r="N570">
        <v>31</v>
      </c>
      <c r="O570" t="s">
        <v>575</v>
      </c>
      <c r="Q570" t="s">
        <v>576</v>
      </c>
      <c r="R570" t="s">
        <v>859</v>
      </c>
      <c r="U570">
        <v>7</v>
      </c>
      <c r="V570">
        <v>7</v>
      </c>
      <c r="W570" t="s">
        <v>350</v>
      </c>
      <c r="X570" t="s">
        <v>349</v>
      </c>
      <c r="Y570" t="s">
        <v>580</v>
      </c>
      <c r="Z570">
        <v>2017</v>
      </c>
      <c r="AB570">
        <v>13</v>
      </c>
      <c r="AC570">
        <v>8.0500000000000007</v>
      </c>
      <c r="AE570" t="s">
        <v>346</v>
      </c>
      <c r="AF570">
        <v>46.142674</v>
      </c>
      <c r="AG570">
        <v>-115.598088</v>
      </c>
      <c r="AH570">
        <v>14690049</v>
      </c>
    </row>
    <row r="571" spans="2:34">
      <c r="B571" t="s">
        <v>345</v>
      </c>
      <c r="C571" t="s">
        <v>858</v>
      </c>
      <c r="D571" s="3">
        <v>42861.305555555555</v>
      </c>
      <c r="F571">
        <v>2017</v>
      </c>
      <c r="G571" t="s">
        <v>578</v>
      </c>
      <c r="H571" t="s">
        <v>352</v>
      </c>
      <c r="J571">
        <v>0</v>
      </c>
      <c r="L571">
        <v>1</v>
      </c>
      <c r="M571">
        <v>181</v>
      </c>
      <c r="N571">
        <v>51</v>
      </c>
      <c r="O571" t="s">
        <v>575</v>
      </c>
      <c r="Q571" t="s">
        <v>576</v>
      </c>
      <c r="R571" t="s">
        <v>859</v>
      </c>
      <c r="U571">
        <v>7</v>
      </c>
      <c r="V571">
        <v>7</v>
      </c>
      <c r="W571" t="s">
        <v>350</v>
      </c>
      <c r="X571" t="s">
        <v>349</v>
      </c>
      <c r="Y571" t="s">
        <v>580</v>
      </c>
      <c r="Z571">
        <v>2017</v>
      </c>
      <c r="AB571">
        <v>13</v>
      </c>
      <c r="AC571">
        <v>8.0500000000000007</v>
      </c>
      <c r="AE571" t="s">
        <v>346</v>
      </c>
      <c r="AF571">
        <v>46.142674</v>
      </c>
      <c r="AG571">
        <v>-115.598088</v>
      </c>
      <c r="AH571">
        <v>14690050</v>
      </c>
    </row>
    <row r="572" spans="2:34">
      <c r="B572" t="s">
        <v>345</v>
      </c>
      <c r="C572" t="s">
        <v>858</v>
      </c>
      <c r="D572" s="3">
        <v>42861.305555555555</v>
      </c>
      <c r="F572">
        <v>2017</v>
      </c>
      <c r="G572" t="s">
        <v>578</v>
      </c>
      <c r="H572" t="s">
        <v>352</v>
      </c>
      <c r="J572">
        <v>0</v>
      </c>
      <c r="L572">
        <v>1</v>
      </c>
      <c r="M572">
        <v>160</v>
      </c>
      <c r="N572">
        <v>38</v>
      </c>
      <c r="O572" t="s">
        <v>575</v>
      </c>
      <c r="Q572" t="s">
        <v>875</v>
      </c>
      <c r="R572" t="s">
        <v>859</v>
      </c>
      <c r="U572">
        <v>7</v>
      </c>
      <c r="V572">
        <v>7</v>
      </c>
      <c r="W572" t="s">
        <v>350</v>
      </c>
      <c r="X572" t="s">
        <v>349</v>
      </c>
      <c r="Y572" t="s">
        <v>580</v>
      </c>
      <c r="Z572">
        <v>2017</v>
      </c>
      <c r="AB572">
        <v>13</v>
      </c>
      <c r="AC572">
        <v>8.0500000000000007</v>
      </c>
      <c r="AE572" t="s">
        <v>346</v>
      </c>
      <c r="AF572">
        <v>46.142674</v>
      </c>
      <c r="AG572">
        <v>-115.598088</v>
      </c>
      <c r="AH572">
        <v>14690051</v>
      </c>
    </row>
    <row r="573" spans="2:34">
      <c r="B573" t="s">
        <v>345</v>
      </c>
      <c r="C573" t="s">
        <v>858</v>
      </c>
      <c r="D573" s="3">
        <v>42861.305555555555</v>
      </c>
      <c r="F573">
        <v>2017</v>
      </c>
      <c r="G573" t="s">
        <v>578</v>
      </c>
      <c r="H573" t="s">
        <v>352</v>
      </c>
      <c r="J573">
        <v>0</v>
      </c>
      <c r="L573">
        <v>1</v>
      </c>
      <c r="M573">
        <v>145</v>
      </c>
      <c r="N573">
        <v>32</v>
      </c>
      <c r="O573" t="s">
        <v>575</v>
      </c>
      <c r="Q573" t="s">
        <v>576</v>
      </c>
      <c r="R573" t="s">
        <v>859</v>
      </c>
      <c r="U573">
        <v>7</v>
      </c>
      <c r="V573">
        <v>7</v>
      </c>
      <c r="W573" t="s">
        <v>350</v>
      </c>
      <c r="X573" t="s">
        <v>349</v>
      </c>
      <c r="Y573" t="s">
        <v>580</v>
      </c>
      <c r="Z573">
        <v>2017</v>
      </c>
      <c r="AB573">
        <v>13</v>
      </c>
      <c r="AC573">
        <v>8.0500000000000007</v>
      </c>
      <c r="AE573" t="s">
        <v>346</v>
      </c>
      <c r="AF573">
        <v>46.142674</v>
      </c>
      <c r="AG573">
        <v>-115.598088</v>
      </c>
      <c r="AH573">
        <v>14690052</v>
      </c>
    </row>
    <row r="574" spans="2:34">
      <c r="B574" t="s">
        <v>345</v>
      </c>
      <c r="C574" t="s">
        <v>858</v>
      </c>
      <c r="D574" s="3">
        <v>42861.305555555555</v>
      </c>
      <c r="F574">
        <v>2017</v>
      </c>
      <c r="G574" t="s">
        <v>578</v>
      </c>
      <c r="H574" t="s">
        <v>352</v>
      </c>
      <c r="J574">
        <v>0</v>
      </c>
      <c r="L574">
        <v>1</v>
      </c>
      <c r="M574">
        <v>166</v>
      </c>
      <c r="N574">
        <v>46</v>
      </c>
      <c r="O574" t="s">
        <v>575</v>
      </c>
      <c r="Q574" t="s">
        <v>576</v>
      </c>
      <c r="R574" t="s">
        <v>859</v>
      </c>
      <c r="U574">
        <v>7</v>
      </c>
      <c r="V574">
        <v>7</v>
      </c>
      <c r="W574" t="s">
        <v>350</v>
      </c>
      <c r="X574" t="s">
        <v>349</v>
      </c>
      <c r="Y574" t="s">
        <v>580</v>
      </c>
      <c r="Z574">
        <v>2017</v>
      </c>
      <c r="AB574">
        <v>13</v>
      </c>
      <c r="AC574">
        <v>8.0500000000000007</v>
      </c>
      <c r="AE574" t="s">
        <v>346</v>
      </c>
      <c r="AF574">
        <v>46.142674</v>
      </c>
      <c r="AG574">
        <v>-115.598088</v>
      </c>
      <c r="AH574">
        <v>14690053</v>
      </c>
    </row>
    <row r="575" spans="2:34">
      <c r="B575" t="s">
        <v>345</v>
      </c>
      <c r="C575" t="s">
        <v>858</v>
      </c>
      <c r="D575" s="3">
        <v>42861.305555555555</v>
      </c>
      <c r="F575">
        <v>2017</v>
      </c>
      <c r="G575" t="s">
        <v>578</v>
      </c>
      <c r="H575" t="s">
        <v>352</v>
      </c>
      <c r="J575">
        <v>0</v>
      </c>
      <c r="L575">
        <v>1</v>
      </c>
      <c r="M575">
        <v>209</v>
      </c>
      <c r="N575">
        <v>84</v>
      </c>
      <c r="O575" t="s">
        <v>575</v>
      </c>
      <c r="Q575" t="s">
        <v>576</v>
      </c>
      <c r="R575" t="s">
        <v>859</v>
      </c>
      <c r="U575">
        <v>7</v>
      </c>
      <c r="V575">
        <v>7</v>
      </c>
      <c r="W575" t="s">
        <v>350</v>
      </c>
      <c r="X575" t="s">
        <v>349</v>
      </c>
      <c r="Y575" t="s">
        <v>580</v>
      </c>
      <c r="Z575">
        <v>2017</v>
      </c>
      <c r="AB575">
        <v>13</v>
      </c>
      <c r="AC575">
        <v>8.0500000000000007</v>
      </c>
      <c r="AE575" t="s">
        <v>346</v>
      </c>
      <c r="AF575">
        <v>46.142674</v>
      </c>
      <c r="AG575">
        <v>-115.598088</v>
      </c>
      <c r="AH575">
        <v>14690054</v>
      </c>
    </row>
    <row r="576" spans="2:34">
      <c r="B576" t="s">
        <v>345</v>
      </c>
      <c r="C576" t="s">
        <v>858</v>
      </c>
      <c r="D576" s="3">
        <v>42861.305555555555</v>
      </c>
      <c r="F576">
        <v>2017</v>
      </c>
      <c r="G576" t="s">
        <v>578</v>
      </c>
      <c r="H576" t="s">
        <v>352</v>
      </c>
      <c r="J576">
        <v>0</v>
      </c>
      <c r="L576">
        <v>1</v>
      </c>
      <c r="M576">
        <v>155</v>
      </c>
      <c r="N576">
        <v>35</v>
      </c>
      <c r="O576" t="s">
        <v>575</v>
      </c>
      <c r="Q576" t="s">
        <v>876</v>
      </c>
      <c r="R576" t="s">
        <v>859</v>
      </c>
      <c r="U576">
        <v>7</v>
      </c>
      <c r="V576">
        <v>7</v>
      </c>
      <c r="W576" t="s">
        <v>350</v>
      </c>
      <c r="X576" t="s">
        <v>349</v>
      </c>
      <c r="Y576" t="s">
        <v>580</v>
      </c>
      <c r="Z576">
        <v>2017</v>
      </c>
      <c r="AB576">
        <v>13</v>
      </c>
      <c r="AC576">
        <v>8.0500000000000007</v>
      </c>
      <c r="AE576" t="s">
        <v>346</v>
      </c>
      <c r="AF576">
        <v>46.142674</v>
      </c>
      <c r="AG576">
        <v>-115.598088</v>
      </c>
      <c r="AH576">
        <v>14690055</v>
      </c>
    </row>
    <row r="577" spans="2:34">
      <c r="B577" t="s">
        <v>345</v>
      </c>
      <c r="C577" t="s">
        <v>858</v>
      </c>
      <c r="D577" s="3">
        <v>42861.305555555555</v>
      </c>
      <c r="F577">
        <v>2017</v>
      </c>
      <c r="G577" t="s">
        <v>578</v>
      </c>
      <c r="H577" t="s">
        <v>352</v>
      </c>
      <c r="J577">
        <v>0</v>
      </c>
      <c r="L577">
        <v>1</v>
      </c>
      <c r="M577">
        <v>160</v>
      </c>
      <c r="N577">
        <v>39</v>
      </c>
      <c r="O577" t="s">
        <v>575</v>
      </c>
      <c r="Q577" t="s">
        <v>576</v>
      </c>
      <c r="R577" t="s">
        <v>859</v>
      </c>
      <c r="U577">
        <v>7</v>
      </c>
      <c r="V577">
        <v>7</v>
      </c>
      <c r="W577" t="s">
        <v>350</v>
      </c>
      <c r="X577" t="s">
        <v>349</v>
      </c>
      <c r="Y577" t="s">
        <v>580</v>
      </c>
      <c r="Z577">
        <v>2017</v>
      </c>
      <c r="AB577">
        <v>13</v>
      </c>
      <c r="AC577">
        <v>8.0500000000000007</v>
      </c>
      <c r="AE577" t="s">
        <v>346</v>
      </c>
      <c r="AF577">
        <v>46.142674</v>
      </c>
      <c r="AG577">
        <v>-115.598088</v>
      </c>
      <c r="AH577">
        <v>14690056</v>
      </c>
    </row>
    <row r="578" spans="2:34">
      <c r="B578" t="s">
        <v>345</v>
      </c>
      <c r="C578" t="s">
        <v>858</v>
      </c>
      <c r="D578" s="3">
        <v>42861.305555555555</v>
      </c>
      <c r="F578">
        <v>2017</v>
      </c>
      <c r="G578" t="s">
        <v>578</v>
      </c>
      <c r="H578" t="s">
        <v>352</v>
      </c>
      <c r="J578">
        <v>0</v>
      </c>
      <c r="L578">
        <v>1</v>
      </c>
      <c r="M578">
        <v>152</v>
      </c>
      <c r="N578">
        <v>32</v>
      </c>
      <c r="O578" t="s">
        <v>575</v>
      </c>
      <c r="Q578" t="s">
        <v>576</v>
      </c>
      <c r="R578" t="s">
        <v>859</v>
      </c>
      <c r="U578">
        <v>7</v>
      </c>
      <c r="V578">
        <v>7</v>
      </c>
      <c r="W578" t="s">
        <v>350</v>
      </c>
      <c r="X578" t="s">
        <v>349</v>
      </c>
      <c r="Y578" t="s">
        <v>580</v>
      </c>
      <c r="Z578">
        <v>2017</v>
      </c>
      <c r="AB578">
        <v>13</v>
      </c>
      <c r="AC578">
        <v>8.0500000000000007</v>
      </c>
      <c r="AE578" t="s">
        <v>346</v>
      </c>
      <c r="AF578">
        <v>46.142674</v>
      </c>
      <c r="AG578">
        <v>-115.598088</v>
      </c>
      <c r="AH578">
        <v>14690057</v>
      </c>
    </row>
    <row r="579" spans="2:34">
      <c r="B579" t="s">
        <v>345</v>
      </c>
      <c r="C579" t="s">
        <v>858</v>
      </c>
      <c r="D579" s="3">
        <v>42861.305555555555</v>
      </c>
      <c r="F579">
        <v>2017</v>
      </c>
      <c r="G579" t="s">
        <v>578</v>
      </c>
      <c r="H579" t="s">
        <v>352</v>
      </c>
      <c r="J579">
        <v>0</v>
      </c>
      <c r="L579">
        <v>1</v>
      </c>
      <c r="M579">
        <v>206</v>
      </c>
      <c r="N579">
        <v>78</v>
      </c>
      <c r="O579" t="s">
        <v>575</v>
      </c>
      <c r="Q579" t="s">
        <v>576</v>
      </c>
      <c r="R579" t="s">
        <v>859</v>
      </c>
      <c r="U579">
        <v>7</v>
      </c>
      <c r="V579">
        <v>7</v>
      </c>
      <c r="W579" t="s">
        <v>350</v>
      </c>
      <c r="X579" t="s">
        <v>349</v>
      </c>
      <c r="Y579" t="s">
        <v>580</v>
      </c>
      <c r="Z579">
        <v>2017</v>
      </c>
      <c r="AB579">
        <v>13</v>
      </c>
      <c r="AC579">
        <v>8.0500000000000007</v>
      </c>
      <c r="AE579" t="s">
        <v>346</v>
      </c>
      <c r="AF579">
        <v>46.142674</v>
      </c>
      <c r="AG579">
        <v>-115.598088</v>
      </c>
      <c r="AH579">
        <v>14690058</v>
      </c>
    </row>
    <row r="580" spans="2:34">
      <c r="B580" t="s">
        <v>345</v>
      </c>
      <c r="C580" t="s">
        <v>858</v>
      </c>
      <c r="D580" s="3">
        <v>42861.305555555555</v>
      </c>
      <c r="F580">
        <v>2017</v>
      </c>
      <c r="G580" t="s">
        <v>578</v>
      </c>
      <c r="H580" t="s">
        <v>352</v>
      </c>
      <c r="J580">
        <v>0</v>
      </c>
      <c r="L580">
        <v>1</v>
      </c>
      <c r="M580">
        <v>197</v>
      </c>
      <c r="N580">
        <v>70</v>
      </c>
      <c r="O580" t="s">
        <v>575</v>
      </c>
      <c r="Q580" t="s">
        <v>576</v>
      </c>
      <c r="R580" t="s">
        <v>859</v>
      </c>
      <c r="U580">
        <v>7</v>
      </c>
      <c r="V580">
        <v>7</v>
      </c>
      <c r="W580" t="s">
        <v>350</v>
      </c>
      <c r="X580" t="s">
        <v>349</v>
      </c>
      <c r="Y580" t="s">
        <v>580</v>
      </c>
      <c r="Z580">
        <v>2017</v>
      </c>
      <c r="AB580">
        <v>13</v>
      </c>
      <c r="AC580">
        <v>8.0500000000000007</v>
      </c>
      <c r="AE580" t="s">
        <v>346</v>
      </c>
      <c r="AF580">
        <v>46.142674</v>
      </c>
      <c r="AG580">
        <v>-115.598088</v>
      </c>
      <c r="AH580">
        <v>14690059</v>
      </c>
    </row>
    <row r="581" spans="2:34">
      <c r="B581" t="s">
        <v>345</v>
      </c>
      <c r="C581" t="s">
        <v>858</v>
      </c>
      <c r="D581" s="3">
        <v>42861.305555555555</v>
      </c>
      <c r="F581">
        <v>2017</v>
      </c>
      <c r="G581" t="s">
        <v>605</v>
      </c>
      <c r="H581" t="s">
        <v>352</v>
      </c>
      <c r="J581">
        <v>0</v>
      </c>
      <c r="L581">
        <v>1</v>
      </c>
      <c r="M581">
        <v>99</v>
      </c>
      <c r="N581">
        <v>12</v>
      </c>
      <c r="O581" t="s">
        <v>353</v>
      </c>
      <c r="R581" t="s">
        <v>859</v>
      </c>
      <c r="U581">
        <v>7</v>
      </c>
      <c r="V581">
        <v>7</v>
      </c>
      <c r="W581" t="s">
        <v>350</v>
      </c>
      <c r="X581" t="s">
        <v>349</v>
      </c>
      <c r="Y581" t="s">
        <v>580</v>
      </c>
      <c r="Z581">
        <v>2017</v>
      </c>
      <c r="AB581">
        <v>13</v>
      </c>
      <c r="AC581">
        <v>8.0500000000000007</v>
      </c>
      <c r="AE581" t="s">
        <v>346</v>
      </c>
      <c r="AF581">
        <v>46.142674</v>
      </c>
      <c r="AG581">
        <v>-115.598088</v>
      </c>
      <c r="AH581">
        <v>14690060</v>
      </c>
    </row>
    <row r="582" spans="2:34">
      <c r="B582" t="s">
        <v>345</v>
      </c>
      <c r="C582" t="s">
        <v>858</v>
      </c>
      <c r="D582" s="3">
        <v>42861.305555555555</v>
      </c>
      <c r="F582">
        <v>2017</v>
      </c>
      <c r="G582" t="s">
        <v>578</v>
      </c>
      <c r="H582" t="s">
        <v>352</v>
      </c>
      <c r="J582">
        <v>0</v>
      </c>
      <c r="L582">
        <v>1</v>
      </c>
      <c r="M582">
        <v>158</v>
      </c>
      <c r="N582">
        <v>39</v>
      </c>
      <c r="O582" t="s">
        <v>575</v>
      </c>
      <c r="Q582" t="s">
        <v>576</v>
      </c>
      <c r="R582" t="s">
        <v>859</v>
      </c>
      <c r="U582">
        <v>7</v>
      </c>
      <c r="V582">
        <v>7</v>
      </c>
      <c r="W582" t="s">
        <v>350</v>
      </c>
      <c r="X582" t="s">
        <v>349</v>
      </c>
      <c r="Y582" t="s">
        <v>580</v>
      </c>
      <c r="Z582">
        <v>2017</v>
      </c>
      <c r="AB582">
        <v>13</v>
      </c>
      <c r="AC582">
        <v>8.0500000000000007</v>
      </c>
      <c r="AE582" t="s">
        <v>346</v>
      </c>
      <c r="AF582">
        <v>46.142674</v>
      </c>
      <c r="AG582">
        <v>-115.598088</v>
      </c>
      <c r="AH582">
        <v>14690061</v>
      </c>
    </row>
    <row r="583" spans="2:34">
      <c r="B583" t="s">
        <v>345</v>
      </c>
      <c r="C583" t="s">
        <v>858</v>
      </c>
      <c r="D583" s="3">
        <v>42861.305555555555</v>
      </c>
      <c r="F583">
        <v>2017</v>
      </c>
      <c r="G583" t="s">
        <v>605</v>
      </c>
      <c r="H583" t="s">
        <v>352</v>
      </c>
      <c r="J583">
        <v>0</v>
      </c>
      <c r="L583">
        <v>1</v>
      </c>
      <c r="M583">
        <v>104</v>
      </c>
      <c r="N583">
        <v>14</v>
      </c>
      <c r="O583" t="s">
        <v>353</v>
      </c>
      <c r="R583" t="s">
        <v>859</v>
      </c>
      <c r="U583">
        <v>7</v>
      </c>
      <c r="V583">
        <v>7</v>
      </c>
      <c r="W583" t="s">
        <v>350</v>
      </c>
      <c r="X583" t="s">
        <v>349</v>
      </c>
      <c r="Y583" t="s">
        <v>580</v>
      </c>
      <c r="Z583">
        <v>2017</v>
      </c>
      <c r="AB583">
        <v>13</v>
      </c>
      <c r="AC583">
        <v>8.0500000000000007</v>
      </c>
      <c r="AE583" t="s">
        <v>346</v>
      </c>
      <c r="AF583">
        <v>46.142674</v>
      </c>
      <c r="AG583">
        <v>-115.598088</v>
      </c>
      <c r="AH583">
        <v>14690062</v>
      </c>
    </row>
    <row r="584" spans="2:34">
      <c r="B584" t="s">
        <v>345</v>
      </c>
      <c r="C584" t="s">
        <v>858</v>
      </c>
      <c r="D584" s="3">
        <v>42861.305555555555</v>
      </c>
      <c r="F584">
        <v>2017</v>
      </c>
      <c r="G584" t="s">
        <v>578</v>
      </c>
      <c r="H584" t="s">
        <v>352</v>
      </c>
      <c r="J584">
        <v>0</v>
      </c>
      <c r="L584">
        <v>1</v>
      </c>
      <c r="M584">
        <v>182</v>
      </c>
      <c r="N584">
        <v>58</v>
      </c>
      <c r="O584" t="s">
        <v>575</v>
      </c>
      <c r="Q584" t="s">
        <v>576</v>
      </c>
      <c r="R584" t="s">
        <v>859</v>
      </c>
      <c r="U584">
        <v>7</v>
      </c>
      <c r="V584">
        <v>7</v>
      </c>
      <c r="W584" t="s">
        <v>350</v>
      </c>
      <c r="X584" t="s">
        <v>349</v>
      </c>
      <c r="Y584" t="s">
        <v>580</v>
      </c>
      <c r="Z584">
        <v>2017</v>
      </c>
      <c r="AB584">
        <v>13</v>
      </c>
      <c r="AC584">
        <v>8.0500000000000007</v>
      </c>
      <c r="AE584" t="s">
        <v>346</v>
      </c>
      <c r="AF584">
        <v>46.142674</v>
      </c>
      <c r="AG584">
        <v>-115.598088</v>
      </c>
      <c r="AH584">
        <v>14690063</v>
      </c>
    </row>
    <row r="585" spans="2:34">
      <c r="B585" t="s">
        <v>345</v>
      </c>
      <c r="C585" t="s">
        <v>858</v>
      </c>
      <c r="D585" s="3">
        <v>42861.305555555555</v>
      </c>
      <c r="F585">
        <v>2017</v>
      </c>
      <c r="G585" t="s">
        <v>578</v>
      </c>
      <c r="H585" t="s">
        <v>352</v>
      </c>
      <c r="J585">
        <v>0</v>
      </c>
      <c r="L585">
        <v>1</v>
      </c>
      <c r="M585">
        <v>151</v>
      </c>
      <c r="N585">
        <v>34</v>
      </c>
      <c r="O585" t="s">
        <v>575</v>
      </c>
      <c r="Q585" t="s">
        <v>877</v>
      </c>
      <c r="R585" t="s">
        <v>859</v>
      </c>
      <c r="U585">
        <v>7</v>
      </c>
      <c r="V585">
        <v>7</v>
      </c>
      <c r="W585" t="s">
        <v>350</v>
      </c>
      <c r="X585" t="s">
        <v>349</v>
      </c>
      <c r="Y585" t="s">
        <v>580</v>
      </c>
      <c r="Z585">
        <v>2017</v>
      </c>
      <c r="AB585">
        <v>13</v>
      </c>
      <c r="AC585">
        <v>8.0500000000000007</v>
      </c>
      <c r="AE585" t="s">
        <v>346</v>
      </c>
      <c r="AF585">
        <v>46.142674</v>
      </c>
      <c r="AG585">
        <v>-115.598088</v>
      </c>
      <c r="AH585">
        <v>14690064</v>
      </c>
    </row>
    <row r="586" spans="2:34">
      <c r="B586" t="s">
        <v>345</v>
      </c>
      <c r="C586" t="s">
        <v>858</v>
      </c>
      <c r="D586" s="3">
        <v>42861.305555555555</v>
      </c>
      <c r="F586">
        <v>2017</v>
      </c>
      <c r="G586" t="s">
        <v>578</v>
      </c>
      <c r="H586" t="s">
        <v>352</v>
      </c>
      <c r="J586">
        <v>0</v>
      </c>
      <c r="L586">
        <v>1</v>
      </c>
      <c r="M586">
        <v>168</v>
      </c>
      <c r="N586">
        <v>42</v>
      </c>
      <c r="O586" t="s">
        <v>575</v>
      </c>
      <c r="Q586" t="s">
        <v>576</v>
      </c>
      <c r="R586" t="s">
        <v>859</v>
      </c>
      <c r="U586">
        <v>7</v>
      </c>
      <c r="V586">
        <v>7</v>
      </c>
      <c r="W586" t="s">
        <v>350</v>
      </c>
      <c r="X586" t="s">
        <v>349</v>
      </c>
      <c r="Y586" t="s">
        <v>580</v>
      </c>
      <c r="Z586">
        <v>2017</v>
      </c>
      <c r="AB586">
        <v>13</v>
      </c>
      <c r="AC586">
        <v>8.0500000000000007</v>
      </c>
      <c r="AE586" t="s">
        <v>346</v>
      </c>
      <c r="AF586">
        <v>46.142674</v>
      </c>
      <c r="AG586">
        <v>-115.598088</v>
      </c>
      <c r="AH586">
        <v>14690065</v>
      </c>
    </row>
    <row r="587" spans="2:34">
      <c r="B587" t="s">
        <v>345</v>
      </c>
      <c r="C587" t="s">
        <v>858</v>
      </c>
      <c r="D587" s="3">
        <v>42861.305555555555</v>
      </c>
      <c r="F587">
        <v>2017</v>
      </c>
      <c r="G587" t="s">
        <v>578</v>
      </c>
      <c r="H587" t="s">
        <v>352</v>
      </c>
      <c r="J587">
        <v>0</v>
      </c>
      <c r="L587">
        <v>1</v>
      </c>
      <c r="M587">
        <v>155</v>
      </c>
      <c r="N587">
        <v>40</v>
      </c>
      <c r="O587" t="s">
        <v>575</v>
      </c>
      <c r="Q587" t="s">
        <v>877</v>
      </c>
      <c r="R587" t="s">
        <v>859</v>
      </c>
      <c r="U587">
        <v>7</v>
      </c>
      <c r="V587">
        <v>7</v>
      </c>
      <c r="W587" t="s">
        <v>350</v>
      </c>
      <c r="X587" t="s">
        <v>349</v>
      </c>
      <c r="Y587" t="s">
        <v>580</v>
      </c>
      <c r="Z587">
        <v>2017</v>
      </c>
      <c r="AB587">
        <v>13</v>
      </c>
      <c r="AC587">
        <v>8.0500000000000007</v>
      </c>
      <c r="AE587" t="s">
        <v>346</v>
      </c>
      <c r="AF587">
        <v>46.142674</v>
      </c>
      <c r="AG587">
        <v>-115.598088</v>
      </c>
      <c r="AH587">
        <v>14690066</v>
      </c>
    </row>
    <row r="588" spans="2:34">
      <c r="B588" t="s">
        <v>345</v>
      </c>
      <c r="C588" t="s">
        <v>858</v>
      </c>
      <c r="D588" s="3">
        <v>42861.305555555555</v>
      </c>
      <c r="F588">
        <v>2017</v>
      </c>
      <c r="G588" t="s">
        <v>578</v>
      </c>
      <c r="H588" t="s">
        <v>352</v>
      </c>
      <c r="J588">
        <v>0</v>
      </c>
      <c r="L588">
        <v>1</v>
      </c>
      <c r="M588">
        <v>160</v>
      </c>
      <c r="N588">
        <v>40</v>
      </c>
      <c r="O588" t="s">
        <v>575</v>
      </c>
      <c r="Q588" t="s">
        <v>576</v>
      </c>
      <c r="R588" t="s">
        <v>859</v>
      </c>
      <c r="U588">
        <v>7</v>
      </c>
      <c r="V588">
        <v>7</v>
      </c>
      <c r="W588" t="s">
        <v>350</v>
      </c>
      <c r="X588" t="s">
        <v>349</v>
      </c>
      <c r="Y588" t="s">
        <v>580</v>
      </c>
      <c r="Z588">
        <v>2017</v>
      </c>
      <c r="AB588">
        <v>13</v>
      </c>
      <c r="AC588">
        <v>8.0500000000000007</v>
      </c>
      <c r="AE588" t="s">
        <v>346</v>
      </c>
      <c r="AF588">
        <v>46.142674</v>
      </c>
      <c r="AG588">
        <v>-115.598088</v>
      </c>
      <c r="AH588">
        <v>14690067</v>
      </c>
    </row>
    <row r="589" spans="2:34">
      <c r="B589" t="s">
        <v>345</v>
      </c>
      <c r="C589" t="s">
        <v>858</v>
      </c>
      <c r="D589" s="3">
        <v>42861.305555555555</v>
      </c>
      <c r="F589">
        <v>2017</v>
      </c>
      <c r="G589" t="s">
        <v>574</v>
      </c>
      <c r="H589" t="s">
        <v>352</v>
      </c>
      <c r="J589">
        <v>0</v>
      </c>
      <c r="L589">
        <v>1</v>
      </c>
      <c r="M589">
        <v>90</v>
      </c>
      <c r="N589">
        <v>8</v>
      </c>
      <c r="O589" t="s">
        <v>575</v>
      </c>
      <c r="Q589" t="s">
        <v>576</v>
      </c>
      <c r="R589" t="s">
        <v>859</v>
      </c>
      <c r="U589">
        <v>7</v>
      </c>
      <c r="V589">
        <v>7</v>
      </c>
      <c r="W589" t="s">
        <v>350</v>
      </c>
      <c r="X589" t="s">
        <v>349</v>
      </c>
      <c r="Y589" t="s">
        <v>580</v>
      </c>
      <c r="Z589">
        <v>2017</v>
      </c>
      <c r="AB589">
        <v>13</v>
      </c>
      <c r="AC589">
        <v>8.0500000000000007</v>
      </c>
      <c r="AE589" t="s">
        <v>346</v>
      </c>
      <c r="AF589">
        <v>46.142674</v>
      </c>
      <c r="AG589">
        <v>-115.598088</v>
      </c>
      <c r="AH589">
        <v>14690068</v>
      </c>
    </row>
    <row r="590" spans="2:34">
      <c r="B590" t="s">
        <v>345</v>
      </c>
      <c r="C590" t="s">
        <v>858</v>
      </c>
      <c r="D590" s="3">
        <v>42861.305555555555</v>
      </c>
      <c r="F590">
        <v>2017</v>
      </c>
      <c r="G590" t="s">
        <v>578</v>
      </c>
      <c r="H590" t="s">
        <v>352</v>
      </c>
      <c r="J590">
        <v>0</v>
      </c>
      <c r="L590">
        <v>1</v>
      </c>
      <c r="M590">
        <v>186</v>
      </c>
      <c r="N590">
        <v>57</v>
      </c>
      <c r="O590" t="s">
        <v>575</v>
      </c>
      <c r="Q590" t="s">
        <v>576</v>
      </c>
      <c r="R590" t="s">
        <v>859</v>
      </c>
      <c r="U590">
        <v>7</v>
      </c>
      <c r="V590">
        <v>7</v>
      </c>
      <c r="W590" t="s">
        <v>350</v>
      </c>
      <c r="X590" t="s">
        <v>349</v>
      </c>
      <c r="Y590" t="s">
        <v>580</v>
      </c>
      <c r="Z590">
        <v>2017</v>
      </c>
      <c r="AB590">
        <v>13</v>
      </c>
      <c r="AC590">
        <v>8.0500000000000007</v>
      </c>
      <c r="AE590" t="s">
        <v>346</v>
      </c>
      <c r="AF590">
        <v>46.142674</v>
      </c>
      <c r="AG590">
        <v>-115.598088</v>
      </c>
      <c r="AH590">
        <v>14690069</v>
      </c>
    </row>
    <row r="591" spans="2:34">
      <c r="B591" t="s">
        <v>345</v>
      </c>
      <c r="C591" t="s">
        <v>858</v>
      </c>
      <c r="D591" s="3">
        <v>42861.305555555555</v>
      </c>
      <c r="F591">
        <v>2017</v>
      </c>
      <c r="G591" t="s">
        <v>605</v>
      </c>
      <c r="H591" t="s">
        <v>352</v>
      </c>
      <c r="J591">
        <v>0</v>
      </c>
      <c r="L591">
        <v>1</v>
      </c>
      <c r="M591">
        <v>74</v>
      </c>
      <c r="N591">
        <v>5</v>
      </c>
      <c r="O591" t="s">
        <v>353</v>
      </c>
      <c r="R591" t="s">
        <v>859</v>
      </c>
      <c r="U591">
        <v>7</v>
      </c>
      <c r="V591">
        <v>7</v>
      </c>
      <c r="W591" t="s">
        <v>350</v>
      </c>
      <c r="X591" t="s">
        <v>349</v>
      </c>
      <c r="Y591" t="s">
        <v>580</v>
      </c>
      <c r="Z591">
        <v>2017</v>
      </c>
      <c r="AB591">
        <v>13</v>
      </c>
      <c r="AC591">
        <v>8.0500000000000007</v>
      </c>
      <c r="AE591" t="s">
        <v>346</v>
      </c>
      <c r="AF591">
        <v>46.142674</v>
      </c>
      <c r="AG591">
        <v>-115.598088</v>
      </c>
      <c r="AH591">
        <v>14690070</v>
      </c>
    </row>
    <row r="592" spans="2:34">
      <c r="B592" t="s">
        <v>345</v>
      </c>
      <c r="C592" t="s">
        <v>858</v>
      </c>
      <c r="D592" s="3">
        <v>42861.305555555555</v>
      </c>
      <c r="F592">
        <v>2017</v>
      </c>
      <c r="G592" t="s">
        <v>605</v>
      </c>
      <c r="H592" t="s">
        <v>352</v>
      </c>
      <c r="J592">
        <v>0</v>
      </c>
      <c r="L592">
        <v>1</v>
      </c>
      <c r="M592">
        <v>68</v>
      </c>
      <c r="N592">
        <v>4</v>
      </c>
      <c r="O592" t="s">
        <v>353</v>
      </c>
      <c r="R592" t="s">
        <v>859</v>
      </c>
      <c r="U592">
        <v>7</v>
      </c>
      <c r="V592">
        <v>7</v>
      </c>
      <c r="W592" t="s">
        <v>350</v>
      </c>
      <c r="X592" t="s">
        <v>349</v>
      </c>
      <c r="Y592" t="s">
        <v>580</v>
      </c>
      <c r="Z592">
        <v>2017</v>
      </c>
      <c r="AB592">
        <v>13</v>
      </c>
      <c r="AC592">
        <v>8.0500000000000007</v>
      </c>
      <c r="AE592" t="s">
        <v>346</v>
      </c>
      <c r="AF592">
        <v>46.142674</v>
      </c>
      <c r="AG592">
        <v>-115.598088</v>
      </c>
      <c r="AH592">
        <v>14690071</v>
      </c>
    </row>
    <row r="593" spans="2:35">
      <c r="B593" t="s">
        <v>345</v>
      </c>
      <c r="C593" t="s">
        <v>858</v>
      </c>
      <c r="D593" s="3">
        <v>42861.305555555555</v>
      </c>
      <c r="F593">
        <v>2017</v>
      </c>
      <c r="G593" t="s">
        <v>578</v>
      </c>
      <c r="H593" t="s">
        <v>352</v>
      </c>
      <c r="J593">
        <v>0</v>
      </c>
      <c r="L593">
        <v>1</v>
      </c>
      <c r="M593">
        <v>166</v>
      </c>
      <c r="N593">
        <v>41</v>
      </c>
      <c r="O593" t="s">
        <v>575</v>
      </c>
      <c r="Q593" t="s">
        <v>878</v>
      </c>
      <c r="R593" t="s">
        <v>859</v>
      </c>
      <c r="U593">
        <v>7</v>
      </c>
      <c r="V593">
        <v>7</v>
      </c>
      <c r="W593" t="s">
        <v>350</v>
      </c>
      <c r="X593" t="s">
        <v>349</v>
      </c>
      <c r="Y593" t="s">
        <v>580</v>
      </c>
      <c r="Z593">
        <v>2017</v>
      </c>
      <c r="AB593">
        <v>13</v>
      </c>
      <c r="AC593">
        <v>8.0500000000000007</v>
      </c>
      <c r="AE593" t="s">
        <v>346</v>
      </c>
      <c r="AF593">
        <v>46.142674</v>
      </c>
      <c r="AG593">
        <v>-115.598088</v>
      </c>
      <c r="AH593">
        <v>14690072</v>
      </c>
    </row>
    <row r="594" spans="2:35">
      <c r="B594" t="s">
        <v>345</v>
      </c>
      <c r="C594" t="s">
        <v>858</v>
      </c>
      <c r="D594" s="3">
        <v>42861.305555555555</v>
      </c>
      <c r="F594">
        <v>2017</v>
      </c>
      <c r="G594" t="s">
        <v>605</v>
      </c>
      <c r="H594" t="s">
        <v>352</v>
      </c>
      <c r="J594">
        <v>0</v>
      </c>
      <c r="L594">
        <v>1</v>
      </c>
      <c r="M594">
        <v>74</v>
      </c>
      <c r="N594">
        <v>6</v>
      </c>
      <c r="O594" t="s">
        <v>353</v>
      </c>
      <c r="R594" t="s">
        <v>859</v>
      </c>
      <c r="U594">
        <v>7</v>
      </c>
      <c r="V594">
        <v>7</v>
      </c>
      <c r="W594" t="s">
        <v>350</v>
      </c>
      <c r="X594" t="s">
        <v>349</v>
      </c>
      <c r="Y594" t="s">
        <v>580</v>
      </c>
      <c r="Z594">
        <v>2017</v>
      </c>
      <c r="AB594">
        <v>13</v>
      </c>
      <c r="AC594">
        <v>8.0500000000000007</v>
      </c>
      <c r="AE594" t="s">
        <v>346</v>
      </c>
      <c r="AF594">
        <v>46.142674</v>
      </c>
      <c r="AG594">
        <v>-115.598088</v>
      </c>
      <c r="AH594">
        <v>14690073</v>
      </c>
    </row>
    <row r="595" spans="2:35">
      <c r="B595" t="s">
        <v>345</v>
      </c>
      <c r="C595" t="s">
        <v>858</v>
      </c>
      <c r="D595" s="3">
        <v>42861.305555555555</v>
      </c>
      <c r="F595">
        <v>2017</v>
      </c>
      <c r="G595" t="s">
        <v>578</v>
      </c>
      <c r="H595" t="s">
        <v>352</v>
      </c>
      <c r="J595">
        <v>0</v>
      </c>
      <c r="L595">
        <v>1</v>
      </c>
      <c r="M595">
        <v>186</v>
      </c>
      <c r="N595">
        <v>55</v>
      </c>
      <c r="O595" t="s">
        <v>575</v>
      </c>
      <c r="Q595" t="s">
        <v>576</v>
      </c>
      <c r="R595" t="s">
        <v>859</v>
      </c>
      <c r="U595">
        <v>7</v>
      </c>
      <c r="V595">
        <v>7</v>
      </c>
      <c r="W595" t="s">
        <v>350</v>
      </c>
      <c r="X595" t="s">
        <v>349</v>
      </c>
      <c r="Y595" t="s">
        <v>580</v>
      </c>
      <c r="Z595">
        <v>2017</v>
      </c>
      <c r="AB595">
        <v>13</v>
      </c>
      <c r="AC595">
        <v>8.0500000000000007</v>
      </c>
      <c r="AE595" t="s">
        <v>346</v>
      </c>
      <c r="AF595">
        <v>46.142674</v>
      </c>
      <c r="AG595">
        <v>-115.598088</v>
      </c>
      <c r="AH595">
        <v>14690074</v>
      </c>
    </row>
    <row r="596" spans="2:35">
      <c r="B596" t="s">
        <v>345</v>
      </c>
      <c r="C596" t="s">
        <v>879</v>
      </c>
      <c r="D596" s="3">
        <v>42864.348611111112</v>
      </c>
      <c r="F596">
        <v>2017</v>
      </c>
      <c r="G596" t="s">
        <v>578</v>
      </c>
      <c r="H596" t="s">
        <v>352</v>
      </c>
      <c r="J596">
        <v>0</v>
      </c>
      <c r="L596">
        <v>1</v>
      </c>
      <c r="M596">
        <v>161</v>
      </c>
      <c r="N596">
        <v>38</v>
      </c>
      <c r="O596" t="s">
        <v>575</v>
      </c>
      <c r="Q596" t="s">
        <v>880</v>
      </c>
      <c r="R596" t="s">
        <v>608</v>
      </c>
      <c r="U596">
        <v>7</v>
      </c>
      <c r="V596">
        <v>7.5</v>
      </c>
      <c r="W596" t="s">
        <v>350</v>
      </c>
      <c r="X596" t="s">
        <v>349</v>
      </c>
      <c r="Y596" t="s">
        <v>348</v>
      </c>
      <c r="Z596">
        <v>2017</v>
      </c>
      <c r="AB596">
        <v>13</v>
      </c>
      <c r="AC596">
        <v>7.26</v>
      </c>
      <c r="AE596" t="s">
        <v>346</v>
      </c>
      <c r="AF596">
        <v>46.142674</v>
      </c>
      <c r="AG596">
        <v>-115.598088</v>
      </c>
      <c r="AH596">
        <v>14645284</v>
      </c>
      <c r="AI596">
        <f>17-76473</f>
        <v>-76456</v>
      </c>
    </row>
    <row r="597" spans="2:35">
      <c r="B597" t="s">
        <v>345</v>
      </c>
      <c r="C597" t="s">
        <v>879</v>
      </c>
      <c r="D597" s="3">
        <v>42864.348611111112</v>
      </c>
      <c r="F597">
        <v>2017</v>
      </c>
      <c r="G597" t="s">
        <v>578</v>
      </c>
      <c r="H597" t="s">
        <v>352</v>
      </c>
      <c r="J597">
        <v>0</v>
      </c>
      <c r="L597">
        <v>1</v>
      </c>
      <c r="M597">
        <v>130</v>
      </c>
      <c r="N597">
        <v>20</v>
      </c>
      <c r="O597" t="s">
        <v>575</v>
      </c>
      <c r="Q597" t="s">
        <v>881</v>
      </c>
      <c r="R597" t="s">
        <v>608</v>
      </c>
      <c r="U597">
        <v>7</v>
      </c>
      <c r="V597">
        <v>7.5</v>
      </c>
      <c r="W597" t="s">
        <v>350</v>
      </c>
      <c r="X597" t="s">
        <v>349</v>
      </c>
      <c r="Y597" t="s">
        <v>348</v>
      </c>
      <c r="Z597">
        <v>2017</v>
      </c>
      <c r="AB597">
        <v>13</v>
      </c>
      <c r="AC597">
        <v>7.26</v>
      </c>
      <c r="AE597" t="s">
        <v>346</v>
      </c>
      <c r="AF597">
        <v>46.142674</v>
      </c>
      <c r="AG597">
        <v>-115.598088</v>
      </c>
      <c r="AH597">
        <v>14645285</v>
      </c>
      <c r="AI597">
        <f>17-76476</f>
        <v>-76459</v>
      </c>
    </row>
    <row r="598" spans="2:35">
      <c r="B598" t="s">
        <v>345</v>
      </c>
      <c r="C598" t="s">
        <v>879</v>
      </c>
      <c r="D598" s="3">
        <v>42864.348611111112</v>
      </c>
      <c r="F598">
        <v>2017</v>
      </c>
      <c r="G598" t="s">
        <v>578</v>
      </c>
      <c r="H598" t="s">
        <v>352</v>
      </c>
      <c r="J598">
        <v>0</v>
      </c>
      <c r="L598">
        <v>1</v>
      </c>
      <c r="M598">
        <v>184</v>
      </c>
      <c r="N598">
        <v>61</v>
      </c>
      <c r="O598" t="s">
        <v>575</v>
      </c>
      <c r="Q598" t="s">
        <v>882</v>
      </c>
      <c r="R598" t="s">
        <v>608</v>
      </c>
      <c r="U598">
        <v>7</v>
      </c>
      <c r="V598">
        <v>7.5</v>
      </c>
      <c r="W598" t="s">
        <v>350</v>
      </c>
      <c r="X598" t="s">
        <v>349</v>
      </c>
      <c r="Y598" t="s">
        <v>348</v>
      </c>
      <c r="Z598">
        <v>2017</v>
      </c>
      <c r="AB598">
        <v>13</v>
      </c>
      <c r="AC598">
        <v>7.26</v>
      </c>
      <c r="AE598" t="s">
        <v>346</v>
      </c>
      <c r="AF598">
        <v>46.142674</v>
      </c>
      <c r="AG598">
        <v>-115.598088</v>
      </c>
      <c r="AH598">
        <v>14645286</v>
      </c>
      <c r="AI598">
        <f>17-76479</f>
        <v>-76462</v>
      </c>
    </row>
    <row r="599" spans="2:35">
      <c r="B599" t="s">
        <v>345</v>
      </c>
      <c r="C599" t="s">
        <v>879</v>
      </c>
      <c r="D599" s="3">
        <v>42864.348611111112</v>
      </c>
      <c r="F599">
        <v>2017</v>
      </c>
      <c r="G599" t="s">
        <v>578</v>
      </c>
      <c r="H599" t="s">
        <v>352</v>
      </c>
      <c r="J599">
        <v>0</v>
      </c>
      <c r="L599">
        <v>1</v>
      </c>
      <c r="M599">
        <v>165</v>
      </c>
      <c r="N599">
        <v>41</v>
      </c>
      <c r="O599" t="s">
        <v>575</v>
      </c>
      <c r="Q599" t="s">
        <v>883</v>
      </c>
      <c r="R599" t="s">
        <v>608</v>
      </c>
      <c r="U599">
        <v>7</v>
      </c>
      <c r="V599">
        <v>7.5</v>
      </c>
      <c r="W599" t="s">
        <v>350</v>
      </c>
      <c r="X599" t="s">
        <v>349</v>
      </c>
      <c r="Y599" t="s">
        <v>348</v>
      </c>
      <c r="Z599">
        <v>2017</v>
      </c>
      <c r="AB599">
        <v>13</v>
      </c>
      <c r="AC599">
        <v>7.26</v>
      </c>
      <c r="AE599" t="s">
        <v>346</v>
      </c>
      <c r="AF599">
        <v>46.142674</v>
      </c>
      <c r="AG599">
        <v>-115.598088</v>
      </c>
      <c r="AH599">
        <v>14645287</v>
      </c>
      <c r="AI599">
        <f>17-76478</f>
        <v>-76461</v>
      </c>
    </row>
    <row r="600" spans="2:35">
      <c r="B600" t="s">
        <v>345</v>
      </c>
      <c r="C600" t="s">
        <v>879</v>
      </c>
      <c r="D600" s="3">
        <v>42864.348611111112</v>
      </c>
      <c r="F600">
        <v>2017</v>
      </c>
      <c r="G600" t="s">
        <v>578</v>
      </c>
      <c r="H600" t="s">
        <v>352</v>
      </c>
      <c r="J600">
        <v>0</v>
      </c>
      <c r="L600">
        <v>1</v>
      </c>
      <c r="M600">
        <v>174</v>
      </c>
      <c r="N600">
        <v>46</v>
      </c>
      <c r="O600" t="s">
        <v>575</v>
      </c>
      <c r="Q600" t="s">
        <v>884</v>
      </c>
      <c r="R600" t="s">
        <v>608</v>
      </c>
      <c r="U600">
        <v>7</v>
      </c>
      <c r="V600">
        <v>7.5</v>
      </c>
      <c r="W600" t="s">
        <v>350</v>
      </c>
      <c r="X600" t="s">
        <v>349</v>
      </c>
      <c r="Y600" t="s">
        <v>348</v>
      </c>
      <c r="Z600">
        <v>2017</v>
      </c>
      <c r="AB600">
        <v>13</v>
      </c>
      <c r="AC600">
        <v>7.26</v>
      </c>
      <c r="AE600" t="s">
        <v>346</v>
      </c>
      <c r="AF600">
        <v>46.142674</v>
      </c>
      <c r="AG600">
        <v>-115.598088</v>
      </c>
      <c r="AH600">
        <v>14645288</v>
      </c>
      <c r="AI600">
        <f>17-76477</f>
        <v>-76460</v>
      </c>
    </row>
    <row r="601" spans="2:35">
      <c r="B601" t="s">
        <v>345</v>
      </c>
      <c r="C601" t="s">
        <v>879</v>
      </c>
      <c r="D601" s="3">
        <v>42864.348611111112</v>
      </c>
      <c r="F601">
        <v>2017</v>
      </c>
      <c r="G601" t="s">
        <v>578</v>
      </c>
      <c r="H601" t="s">
        <v>352</v>
      </c>
      <c r="J601">
        <v>0</v>
      </c>
      <c r="L601">
        <v>1</v>
      </c>
      <c r="M601">
        <v>149</v>
      </c>
      <c r="N601">
        <v>29</v>
      </c>
      <c r="O601" t="s">
        <v>575</v>
      </c>
      <c r="Q601" t="s">
        <v>885</v>
      </c>
      <c r="R601" t="s">
        <v>608</v>
      </c>
      <c r="U601">
        <v>7</v>
      </c>
      <c r="V601">
        <v>7.5</v>
      </c>
      <c r="W601" t="s">
        <v>350</v>
      </c>
      <c r="X601" t="s">
        <v>349</v>
      </c>
      <c r="Y601" t="s">
        <v>348</v>
      </c>
      <c r="Z601">
        <v>2017</v>
      </c>
      <c r="AB601">
        <v>13</v>
      </c>
      <c r="AC601">
        <v>7.26</v>
      </c>
      <c r="AE601" t="s">
        <v>346</v>
      </c>
      <c r="AF601">
        <v>46.142674</v>
      </c>
      <c r="AG601">
        <v>-115.598088</v>
      </c>
      <c r="AH601">
        <v>14645289</v>
      </c>
      <c r="AI601">
        <f>17-76475</f>
        <v>-76458</v>
      </c>
    </row>
    <row r="602" spans="2:35">
      <c r="B602" t="s">
        <v>345</v>
      </c>
      <c r="C602" t="s">
        <v>879</v>
      </c>
      <c r="D602" s="3">
        <v>42864.348611111112</v>
      </c>
      <c r="F602">
        <v>2017</v>
      </c>
      <c r="G602" t="s">
        <v>605</v>
      </c>
      <c r="H602" t="s">
        <v>352</v>
      </c>
      <c r="J602">
        <v>0</v>
      </c>
      <c r="L602">
        <v>1</v>
      </c>
      <c r="M602">
        <v>102</v>
      </c>
      <c r="N602">
        <v>11</v>
      </c>
      <c r="O602" t="s">
        <v>353</v>
      </c>
      <c r="R602" t="s">
        <v>608</v>
      </c>
      <c r="U602">
        <v>7</v>
      </c>
      <c r="V602">
        <v>7.5</v>
      </c>
      <c r="W602" t="s">
        <v>350</v>
      </c>
      <c r="X602" t="s">
        <v>349</v>
      </c>
      <c r="Y602" t="s">
        <v>348</v>
      </c>
      <c r="Z602">
        <v>2017</v>
      </c>
      <c r="AB602">
        <v>13</v>
      </c>
      <c r="AC602">
        <v>7.26</v>
      </c>
      <c r="AE602" t="s">
        <v>346</v>
      </c>
      <c r="AF602">
        <v>46.142674</v>
      </c>
      <c r="AG602">
        <v>-115.598088</v>
      </c>
      <c r="AH602">
        <v>14645290</v>
      </c>
    </row>
    <row r="603" spans="2:35">
      <c r="B603" t="s">
        <v>345</v>
      </c>
      <c r="C603" t="s">
        <v>879</v>
      </c>
      <c r="D603" s="3">
        <v>42864.348611111112</v>
      </c>
      <c r="F603">
        <v>2017</v>
      </c>
      <c r="G603" t="s">
        <v>574</v>
      </c>
      <c r="H603" t="s">
        <v>352</v>
      </c>
      <c r="J603">
        <v>0</v>
      </c>
      <c r="L603">
        <v>1</v>
      </c>
      <c r="M603">
        <v>102</v>
      </c>
      <c r="N603">
        <v>12</v>
      </c>
      <c r="O603" t="s">
        <v>575</v>
      </c>
      <c r="Q603" t="s">
        <v>576</v>
      </c>
      <c r="R603" t="s">
        <v>608</v>
      </c>
      <c r="U603">
        <v>7</v>
      </c>
      <c r="V603">
        <v>7.5</v>
      </c>
      <c r="W603" t="s">
        <v>350</v>
      </c>
      <c r="X603" t="s">
        <v>349</v>
      </c>
      <c r="Y603" t="s">
        <v>348</v>
      </c>
      <c r="Z603">
        <v>2017</v>
      </c>
      <c r="AB603">
        <v>13</v>
      </c>
      <c r="AC603">
        <v>7.26</v>
      </c>
      <c r="AE603" t="s">
        <v>346</v>
      </c>
      <c r="AF603">
        <v>46.142674</v>
      </c>
      <c r="AG603">
        <v>-115.598088</v>
      </c>
      <c r="AH603">
        <v>14645291</v>
      </c>
    </row>
    <row r="604" spans="2:35">
      <c r="B604" t="s">
        <v>345</v>
      </c>
      <c r="C604" t="s">
        <v>879</v>
      </c>
      <c r="D604" s="3">
        <v>42864.348611111112</v>
      </c>
      <c r="F604">
        <v>2017</v>
      </c>
      <c r="G604" t="s">
        <v>578</v>
      </c>
      <c r="H604" t="s">
        <v>352</v>
      </c>
      <c r="J604">
        <v>0</v>
      </c>
      <c r="L604">
        <v>1</v>
      </c>
      <c r="M604">
        <v>143</v>
      </c>
      <c r="N604">
        <v>30</v>
      </c>
      <c r="O604" t="s">
        <v>575</v>
      </c>
      <c r="Q604" t="s">
        <v>886</v>
      </c>
      <c r="R604" t="s">
        <v>608</v>
      </c>
      <c r="U604">
        <v>7</v>
      </c>
      <c r="V604">
        <v>7.5</v>
      </c>
      <c r="W604" t="s">
        <v>350</v>
      </c>
      <c r="X604" t="s">
        <v>349</v>
      </c>
      <c r="Y604" t="s">
        <v>348</v>
      </c>
      <c r="Z604">
        <v>2017</v>
      </c>
      <c r="AB604">
        <v>13</v>
      </c>
      <c r="AC604">
        <v>7.26</v>
      </c>
      <c r="AE604" t="s">
        <v>346</v>
      </c>
      <c r="AF604">
        <v>46.142674</v>
      </c>
      <c r="AG604">
        <v>-115.598088</v>
      </c>
      <c r="AH604">
        <v>14645292</v>
      </c>
      <c r="AI604">
        <f>17-76474</f>
        <v>-76457</v>
      </c>
    </row>
    <row r="605" spans="2:35">
      <c r="B605" t="s">
        <v>345</v>
      </c>
      <c r="C605" t="s">
        <v>879</v>
      </c>
      <c r="D605" s="3">
        <v>42864.348611111112</v>
      </c>
      <c r="F605">
        <v>2017</v>
      </c>
      <c r="G605" t="s">
        <v>636</v>
      </c>
      <c r="H605" t="s">
        <v>352</v>
      </c>
      <c r="J605">
        <v>0</v>
      </c>
      <c r="L605">
        <v>1</v>
      </c>
      <c r="M605">
        <v>77</v>
      </c>
      <c r="N605">
        <v>9</v>
      </c>
      <c r="O605" t="s">
        <v>353</v>
      </c>
      <c r="R605" t="s">
        <v>608</v>
      </c>
      <c r="U605">
        <v>7</v>
      </c>
      <c r="V605">
        <v>7.5</v>
      </c>
      <c r="W605" t="s">
        <v>350</v>
      </c>
      <c r="X605" t="s">
        <v>349</v>
      </c>
      <c r="Y605" t="s">
        <v>348</v>
      </c>
      <c r="Z605">
        <v>2017</v>
      </c>
      <c r="AB605">
        <v>13</v>
      </c>
      <c r="AC605">
        <v>7.26</v>
      </c>
      <c r="AE605" t="s">
        <v>346</v>
      </c>
      <c r="AF605">
        <v>46.142674</v>
      </c>
      <c r="AG605">
        <v>-115.598088</v>
      </c>
      <c r="AH605">
        <v>14645293</v>
      </c>
    </row>
    <row r="606" spans="2:35">
      <c r="B606" t="s">
        <v>345</v>
      </c>
      <c r="C606" t="s">
        <v>887</v>
      </c>
      <c r="D606" s="3">
        <v>43019.375</v>
      </c>
      <c r="F606">
        <v>2017</v>
      </c>
      <c r="G606" t="s">
        <v>602</v>
      </c>
      <c r="H606" t="s">
        <v>352</v>
      </c>
      <c r="J606">
        <v>0</v>
      </c>
      <c r="L606">
        <v>1</v>
      </c>
      <c r="M606">
        <v>235</v>
      </c>
      <c r="N606">
        <v>0</v>
      </c>
      <c r="O606" t="s">
        <v>353</v>
      </c>
      <c r="R606" t="s">
        <v>888</v>
      </c>
      <c r="U606">
        <v>25</v>
      </c>
      <c r="V606">
        <v>7.5</v>
      </c>
      <c r="W606" t="s">
        <v>350</v>
      </c>
      <c r="X606" t="s">
        <v>349</v>
      </c>
      <c r="Y606" t="s">
        <v>348</v>
      </c>
      <c r="Z606">
        <v>2017</v>
      </c>
      <c r="AB606">
        <v>6</v>
      </c>
      <c r="AC606">
        <v>2.0099999999999998</v>
      </c>
      <c r="AE606" t="s">
        <v>346</v>
      </c>
      <c r="AF606">
        <v>46.142674</v>
      </c>
      <c r="AG606">
        <v>-115.598088</v>
      </c>
      <c r="AH606">
        <v>14647578</v>
      </c>
    </row>
    <row r="607" spans="2:35">
      <c r="B607" t="s">
        <v>345</v>
      </c>
      <c r="C607" t="s">
        <v>887</v>
      </c>
      <c r="D607" s="3">
        <v>43019.375</v>
      </c>
      <c r="F607">
        <v>2017</v>
      </c>
      <c r="G607" t="s">
        <v>743</v>
      </c>
      <c r="H607" t="s">
        <v>352</v>
      </c>
      <c r="J607">
        <v>0</v>
      </c>
      <c r="L607">
        <v>1</v>
      </c>
      <c r="M607">
        <v>62</v>
      </c>
      <c r="N607">
        <v>0</v>
      </c>
      <c r="O607" t="s">
        <v>353</v>
      </c>
      <c r="R607" t="s">
        <v>888</v>
      </c>
      <c r="U607">
        <v>25</v>
      </c>
      <c r="V607">
        <v>7.5</v>
      </c>
      <c r="W607" t="s">
        <v>350</v>
      </c>
      <c r="X607" t="s">
        <v>349</v>
      </c>
      <c r="Y607" t="s">
        <v>348</v>
      </c>
      <c r="Z607">
        <v>2017</v>
      </c>
      <c r="AB607">
        <v>6</v>
      </c>
      <c r="AC607">
        <v>2.0099999999999998</v>
      </c>
      <c r="AE607" t="s">
        <v>346</v>
      </c>
      <c r="AF607">
        <v>46.142674</v>
      </c>
      <c r="AG607">
        <v>-115.598088</v>
      </c>
      <c r="AH607">
        <v>14647579</v>
      </c>
    </row>
    <row r="608" spans="2:35">
      <c r="B608" t="s">
        <v>345</v>
      </c>
      <c r="C608" t="s">
        <v>887</v>
      </c>
      <c r="D608" s="3">
        <v>43019.375</v>
      </c>
      <c r="F608">
        <v>2017</v>
      </c>
      <c r="G608" t="s">
        <v>605</v>
      </c>
      <c r="H608" t="s">
        <v>352</v>
      </c>
      <c r="J608">
        <v>0</v>
      </c>
      <c r="L608">
        <v>15</v>
      </c>
      <c r="M608">
        <v>0</v>
      </c>
      <c r="N608">
        <v>0</v>
      </c>
      <c r="O608" t="s">
        <v>606</v>
      </c>
      <c r="R608" t="s">
        <v>888</v>
      </c>
      <c r="U608">
        <v>25</v>
      </c>
      <c r="V608">
        <v>7.5</v>
      </c>
      <c r="W608" t="s">
        <v>350</v>
      </c>
      <c r="X608" t="s">
        <v>349</v>
      </c>
      <c r="Y608" t="s">
        <v>348</v>
      </c>
      <c r="Z608">
        <v>2017</v>
      </c>
      <c r="AB608">
        <v>6</v>
      </c>
      <c r="AC608">
        <v>2.0099999999999998</v>
      </c>
      <c r="AE608" t="s">
        <v>346</v>
      </c>
      <c r="AF608">
        <v>46.142674</v>
      </c>
      <c r="AG608">
        <v>-115.598088</v>
      </c>
      <c r="AH608">
        <v>14647580</v>
      </c>
    </row>
    <row r="609" spans="2:35">
      <c r="B609" t="s">
        <v>345</v>
      </c>
      <c r="C609" t="s">
        <v>889</v>
      </c>
      <c r="D609" s="3">
        <v>42982.365972222222</v>
      </c>
      <c r="F609">
        <v>2017</v>
      </c>
      <c r="G609" t="s">
        <v>605</v>
      </c>
      <c r="H609" t="s">
        <v>352</v>
      </c>
      <c r="J609">
        <v>0</v>
      </c>
      <c r="L609">
        <v>30</v>
      </c>
      <c r="M609">
        <v>0</v>
      </c>
      <c r="N609">
        <v>0</v>
      </c>
      <c r="O609" t="s">
        <v>606</v>
      </c>
      <c r="R609" t="s">
        <v>890</v>
      </c>
      <c r="U609">
        <v>25</v>
      </c>
      <c r="V609">
        <v>25</v>
      </c>
      <c r="W609" t="s">
        <v>350</v>
      </c>
      <c r="X609" t="s">
        <v>349</v>
      </c>
      <c r="Y609" t="s">
        <v>642</v>
      </c>
      <c r="Z609">
        <v>2017</v>
      </c>
      <c r="AB609">
        <v>4</v>
      </c>
      <c r="AC609">
        <v>1.76</v>
      </c>
      <c r="AE609" t="s">
        <v>346</v>
      </c>
      <c r="AF609">
        <v>46.142674</v>
      </c>
      <c r="AG609">
        <v>-115.598088</v>
      </c>
      <c r="AH609">
        <v>14723007</v>
      </c>
    </row>
    <row r="610" spans="2:35">
      <c r="B610" t="s">
        <v>345</v>
      </c>
      <c r="C610" t="s">
        <v>891</v>
      </c>
      <c r="D610" s="3">
        <v>42868.302083333336</v>
      </c>
      <c r="F610">
        <v>2017</v>
      </c>
      <c r="G610" t="s">
        <v>578</v>
      </c>
      <c r="H610" t="s">
        <v>352</v>
      </c>
      <c r="J610">
        <v>0</v>
      </c>
      <c r="L610">
        <v>1</v>
      </c>
      <c r="M610">
        <v>150</v>
      </c>
      <c r="N610">
        <v>34</v>
      </c>
      <c r="O610" t="s">
        <v>634</v>
      </c>
      <c r="P610" t="s">
        <v>635</v>
      </c>
      <c r="Q610" t="s">
        <v>635</v>
      </c>
      <c r="R610" t="s">
        <v>608</v>
      </c>
      <c r="U610">
        <v>5.5</v>
      </c>
      <c r="V610">
        <v>5.5</v>
      </c>
      <c r="W610" t="s">
        <v>350</v>
      </c>
      <c r="X610" t="s">
        <v>349</v>
      </c>
      <c r="Y610" t="s">
        <v>348</v>
      </c>
      <c r="Z610">
        <v>2017</v>
      </c>
      <c r="AB610">
        <v>12</v>
      </c>
      <c r="AC610">
        <v>8.2899999999999991</v>
      </c>
      <c r="AE610" t="s">
        <v>346</v>
      </c>
      <c r="AF610">
        <v>46.142674</v>
      </c>
      <c r="AG610">
        <v>-115.598088</v>
      </c>
      <c r="AH610">
        <v>14751166</v>
      </c>
    </row>
    <row r="611" spans="2:35">
      <c r="B611" t="s">
        <v>345</v>
      </c>
      <c r="C611" t="s">
        <v>891</v>
      </c>
      <c r="D611" s="3">
        <v>42868.302083333336</v>
      </c>
      <c r="F611">
        <v>2017</v>
      </c>
      <c r="G611" t="s">
        <v>578</v>
      </c>
      <c r="H611" t="s">
        <v>352</v>
      </c>
      <c r="J611">
        <v>0</v>
      </c>
      <c r="L611">
        <v>1</v>
      </c>
      <c r="M611">
        <v>164</v>
      </c>
      <c r="N611">
        <v>39</v>
      </c>
      <c r="O611" t="s">
        <v>575</v>
      </c>
      <c r="Q611" t="s">
        <v>892</v>
      </c>
      <c r="R611" t="s">
        <v>608</v>
      </c>
      <c r="U611">
        <v>5.5</v>
      </c>
      <c r="V611">
        <v>5.5</v>
      </c>
      <c r="W611" t="s">
        <v>350</v>
      </c>
      <c r="X611" t="s">
        <v>349</v>
      </c>
      <c r="Y611" t="s">
        <v>348</v>
      </c>
      <c r="Z611">
        <v>2017</v>
      </c>
      <c r="AB611">
        <v>12</v>
      </c>
      <c r="AC611">
        <v>8.2899999999999991</v>
      </c>
      <c r="AE611" t="s">
        <v>346</v>
      </c>
      <c r="AF611">
        <v>46.142674</v>
      </c>
      <c r="AG611">
        <v>-115.598088</v>
      </c>
      <c r="AH611">
        <v>14751167</v>
      </c>
      <c r="AI611">
        <f>17-76499</f>
        <v>-76482</v>
      </c>
    </row>
    <row r="612" spans="2:35">
      <c r="B612" t="s">
        <v>345</v>
      </c>
      <c r="C612" t="s">
        <v>891</v>
      </c>
      <c r="D612" s="3">
        <v>42868.302083333336</v>
      </c>
      <c r="F612">
        <v>2017</v>
      </c>
      <c r="G612" t="s">
        <v>578</v>
      </c>
      <c r="H612" t="s">
        <v>352</v>
      </c>
      <c r="J612">
        <v>0</v>
      </c>
      <c r="L612">
        <v>1</v>
      </c>
      <c r="M612">
        <v>158</v>
      </c>
      <c r="N612">
        <v>40</v>
      </c>
      <c r="O612" t="s">
        <v>575</v>
      </c>
      <c r="Q612" t="s">
        <v>893</v>
      </c>
      <c r="R612" t="s">
        <v>608</v>
      </c>
      <c r="U612">
        <v>5.5</v>
      </c>
      <c r="V612">
        <v>5.5</v>
      </c>
      <c r="W612" t="s">
        <v>350</v>
      </c>
      <c r="X612" t="s">
        <v>349</v>
      </c>
      <c r="Y612" t="s">
        <v>348</v>
      </c>
      <c r="Z612">
        <v>2017</v>
      </c>
      <c r="AB612">
        <v>12</v>
      </c>
      <c r="AC612">
        <v>8.2899999999999991</v>
      </c>
      <c r="AE612" t="s">
        <v>346</v>
      </c>
      <c r="AF612">
        <v>46.142674</v>
      </c>
      <c r="AG612">
        <v>-115.598088</v>
      </c>
      <c r="AH612">
        <v>14751168</v>
      </c>
      <c r="AI612">
        <f>17-76498</f>
        <v>-76481</v>
      </c>
    </row>
    <row r="613" spans="2:35">
      <c r="B613" t="s">
        <v>345</v>
      </c>
      <c r="C613" t="s">
        <v>891</v>
      </c>
      <c r="D613" s="3">
        <v>42868.302083333336</v>
      </c>
      <c r="F613">
        <v>2017</v>
      </c>
      <c r="G613" t="s">
        <v>351</v>
      </c>
      <c r="H613" t="s">
        <v>352</v>
      </c>
      <c r="J613">
        <v>0</v>
      </c>
      <c r="L613">
        <v>1</v>
      </c>
      <c r="M613">
        <v>142</v>
      </c>
      <c r="N613">
        <v>4</v>
      </c>
      <c r="O613" t="s">
        <v>353</v>
      </c>
      <c r="R613" t="s">
        <v>608</v>
      </c>
      <c r="U613">
        <v>5.5</v>
      </c>
      <c r="V613">
        <v>5.5</v>
      </c>
      <c r="W613" t="s">
        <v>350</v>
      </c>
      <c r="X613" t="s">
        <v>349</v>
      </c>
      <c r="Y613" t="s">
        <v>348</v>
      </c>
      <c r="Z613">
        <v>2017</v>
      </c>
      <c r="AB613">
        <v>12</v>
      </c>
      <c r="AC613">
        <v>8.2899999999999991</v>
      </c>
      <c r="AE613" t="s">
        <v>346</v>
      </c>
      <c r="AF613">
        <v>46.142674</v>
      </c>
      <c r="AG613">
        <v>-115.598088</v>
      </c>
      <c r="AH613">
        <v>14751169</v>
      </c>
    </row>
    <row r="614" spans="2:35">
      <c r="B614" t="s">
        <v>345</v>
      </c>
      <c r="C614" t="s">
        <v>891</v>
      </c>
      <c r="D614" s="3">
        <v>42868.302083333336</v>
      </c>
      <c r="F614">
        <v>2017</v>
      </c>
      <c r="G614" t="s">
        <v>578</v>
      </c>
      <c r="H614" t="s">
        <v>352</v>
      </c>
      <c r="J614">
        <v>0</v>
      </c>
      <c r="L614">
        <v>1</v>
      </c>
      <c r="M614">
        <v>186</v>
      </c>
      <c r="N614">
        <v>62</v>
      </c>
      <c r="O614" t="s">
        <v>575</v>
      </c>
      <c r="Q614" t="s">
        <v>894</v>
      </c>
      <c r="R614" t="s">
        <v>608</v>
      </c>
      <c r="U614">
        <v>5.5</v>
      </c>
      <c r="V614">
        <v>5.5</v>
      </c>
      <c r="W614" t="s">
        <v>350</v>
      </c>
      <c r="X614" t="s">
        <v>349</v>
      </c>
      <c r="Y614" t="s">
        <v>348</v>
      </c>
      <c r="Z614">
        <v>2017</v>
      </c>
      <c r="AB614">
        <v>12</v>
      </c>
      <c r="AC614">
        <v>8.2899999999999991</v>
      </c>
      <c r="AE614" t="s">
        <v>346</v>
      </c>
      <c r="AF614">
        <v>46.142674</v>
      </c>
      <c r="AG614">
        <v>-115.598088</v>
      </c>
      <c r="AH614">
        <v>14751170</v>
      </c>
      <c r="AI614">
        <f>17-76497</f>
        <v>-76480</v>
      </c>
    </row>
    <row r="615" spans="2:35">
      <c r="B615" t="s">
        <v>345</v>
      </c>
      <c r="C615" t="s">
        <v>891</v>
      </c>
      <c r="D615" s="3">
        <v>42868.302083333336</v>
      </c>
      <c r="F615">
        <v>2017</v>
      </c>
      <c r="G615" t="s">
        <v>610</v>
      </c>
      <c r="H615" t="s">
        <v>352</v>
      </c>
      <c r="J615">
        <v>0</v>
      </c>
      <c r="L615">
        <v>2</v>
      </c>
      <c r="M615">
        <v>38</v>
      </c>
      <c r="N615">
        <v>0</v>
      </c>
      <c r="O615" t="s">
        <v>353</v>
      </c>
      <c r="R615" t="s">
        <v>608</v>
      </c>
      <c r="U615">
        <v>5.5</v>
      </c>
      <c r="V615">
        <v>5.5</v>
      </c>
      <c r="W615" t="s">
        <v>350</v>
      </c>
      <c r="X615" t="s">
        <v>349</v>
      </c>
      <c r="Y615" t="s">
        <v>348</v>
      </c>
      <c r="Z615">
        <v>2017</v>
      </c>
      <c r="AB615">
        <v>12</v>
      </c>
      <c r="AC615">
        <v>8.2899999999999991</v>
      </c>
      <c r="AE615" t="s">
        <v>346</v>
      </c>
      <c r="AF615">
        <v>46.142674</v>
      </c>
      <c r="AG615">
        <v>-115.598088</v>
      </c>
      <c r="AH615">
        <v>14751171</v>
      </c>
    </row>
    <row r="616" spans="2:35">
      <c r="B616" t="s">
        <v>345</v>
      </c>
      <c r="C616" t="s">
        <v>891</v>
      </c>
      <c r="D616" s="3">
        <v>42868.302083333336</v>
      </c>
      <c r="F616">
        <v>2017</v>
      </c>
      <c r="G616" t="s">
        <v>743</v>
      </c>
      <c r="H616" t="s">
        <v>352</v>
      </c>
      <c r="J616">
        <v>0</v>
      </c>
      <c r="L616">
        <v>1</v>
      </c>
      <c r="M616">
        <v>53</v>
      </c>
      <c r="N616">
        <v>0</v>
      </c>
      <c r="O616" t="s">
        <v>353</v>
      </c>
      <c r="R616" t="s">
        <v>608</v>
      </c>
      <c r="U616">
        <v>5.5</v>
      </c>
      <c r="V616">
        <v>5.5</v>
      </c>
      <c r="W616" t="s">
        <v>350</v>
      </c>
      <c r="X616" t="s">
        <v>349</v>
      </c>
      <c r="Y616" t="s">
        <v>348</v>
      </c>
      <c r="Z616">
        <v>2017</v>
      </c>
      <c r="AB616">
        <v>12</v>
      </c>
      <c r="AC616">
        <v>8.2899999999999991</v>
      </c>
      <c r="AE616" t="s">
        <v>346</v>
      </c>
      <c r="AF616">
        <v>46.142674</v>
      </c>
      <c r="AG616">
        <v>-115.598088</v>
      </c>
      <c r="AH616">
        <v>14751172</v>
      </c>
    </row>
    <row r="617" spans="2:35">
      <c r="B617" t="s">
        <v>345</v>
      </c>
      <c r="C617" t="s">
        <v>895</v>
      </c>
      <c r="D617" s="3">
        <v>42828.572222222225</v>
      </c>
      <c r="F617">
        <v>2017</v>
      </c>
      <c r="G617" t="s">
        <v>578</v>
      </c>
      <c r="H617" t="s">
        <v>352</v>
      </c>
      <c r="J617">
        <v>0</v>
      </c>
      <c r="L617">
        <v>1</v>
      </c>
      <c r="M617">
        <v>157</v>
      </c>
      <c r="N617">
        <v>37</v>
      </c>
      <c r="O617" t="s">
        <v>575</v>
      </c>
      <c r="Q617" t="s">
        <v>896</v>
      </c>
      <c r="U617">
        <v>4.8</v>
      </c>
      <c r="V617">
        <v>5</v>
      </c>
      <c r="W617" t="s">
        <v>350</v>
      </c>
      <c r="X617" t="s">
        <v>349</v>
      </c>
      <c r="Y617" t="s">
        <v>580</v>
      </c>
      <c r="Z617">
        <v>2017</v>
      </c>
      <c r="AB617">
        <v>11</v>
      </c>
      <c r="AC617">
        <v>5.76</v>
      </c>
      <c r="AE617" t="s">
        <v>346</v>
      </c>
      <c r="AF617">
        <v>46.142674</v>
      </c>
      <c r="AG617">
        <v>-115.598088</v>
      </c>
      <c r="AH617">
        <v>14751462</v>
      </c>
    </row>
    <row r="618" spans="2:35">
      <c r="B618" t="s">
        <v>345</v>
      </c>
      <c r="C618" t="s">
        <v>897</v>
      </c>
      <c r="D618" s="3">
        <v>42834.387499999997</v>
      </c>
      <c r="F618">
        <v>2017</v>
      </c>
      <c r="G618" t="s">
        <v>578</v>
      </c>
      <c r="H618" t="s">
        <v>352</v>
      </c>
      <c r="J618">
        <v>0</v>
      </c>
      <c r="L618">
        <v>1</v>
      </c>
      <c r="M618">
        <v>205</v>
      </c>
      <c r="N618">
        <v>78</v>
      </c>
      <c r="O618" t="s">
        <v>575</v>
      </c>
      <c r="Q618" t="s">
        <v>898</v>
      </c>
      <c r="U618">
        <v>5</v>
      </c>
      <c r="V618">
        <v>5</v>
      </c>
      <c r="W618" t="s">
        <v>350</v>
      </c>
      <c r="X618" t="s">
        <v>349</v>
      </c>
      <c r="Y618" t="s">
        <v>580</v>
      </c>
      <c r="Z618">
        <v>2017</v>
      </c>
      <c r="AB618">
        <v>14</v>
      </c>
      <c r="AC618">
        <v>5.77</v>
      </c>
      <c r="AE618" t="s">
        <v>346</v>
      </c>
      <c r="AF618">
        <v>46.142674</v>
      </c>
      <c r="AG618">
        <v>-115.598088</v>
      </c>
      <c r="AH618">
        <v>14751556</v>
      </c>
    </row>
    <row r="619" spans="2:35">
      <c r="B619" t="s">
        <v>345</v>
      </c>
      <c r="C619" t="s">
        <v>897</v>
      </c>
      <c r="D619" s="3">
        <v>42834.387499999997</v>
      </c>
      <c r="F619">
        <v>2017</v>
      </c>
      <c r="G619" t="s">
        <v>574</v>
      </c>
      <c r="H619" t="s">
        <v>352</v>
      </c>
      <c r="J619">
        <v>0</v>
      </c>
      <c r="L619">
        <v>1</v>
      </c>
      <c r="M619">
        <v>87</v>
      </c>
      <c r="N619">
        <v>7</v>
      </c>
      <c r="O619" t="s">
        <v>575</v>
      </c>
      <c r="Q619" t="s">
        <v>576</v>
      </c>
      <c r="U619">
        <v>5</v>
      </c>
      <c r="V619">
        <v>5</v>
      </c>
      <c r="W619" t="s">
        <v>350</v>
      </c>
      <c r="X619" t="s">
        <v>349</v>
      </c>
      <c r="Y619" t="s">
        <v>580</v>
      </c>
      <c r="Z619">
        <v>2017</v>
      </c>
      <c r="AB619">
        <v>14</v>
      </c>
      <c r="AC619">
        <v>5.77</v>
      </c>
      <c r="AE619" t="s">
        <v>346</v>
      </c>
      <c r="AF619">
        <v>46.142674</v>
      </c>
      <c r="AG619">
        <v>-115.598088</v>
      </c>
      <c r="AH619">
        <v>14751557</v>
      </c>
    </row>
    <row r="620" spans="2:35">
      <c r="B620" t="s">
        <v>345</v>
      </c>
      <c r="C620" t="s">
        <v>897</v>
      </c>
      <c r="D620" s="3">
        <v>42834.387499999997</v>
      </c>
      <c r="F620">
        <v>2017</v>
      </c>
      <c r="G620" t="s">
        <v>578</v>
      </c>
      <c r="H620" t="s">
        <v>352</v>
      </c>
      <c r="J620">
        <v>0</v>
      </c>
      <c r="L620">
        <v>1</v>
      </c>
      <c r="M620">
        <v>164</v>
      </c>
      <c r="N620">
        <v>41</v>
      </c>
      <c r="O620" t="s">
        <v>575</v>
      </c>
      <c r="Q620" t="s">
        <v>899</v>
      </c>
      <c r="U620">
        <v>5</v>
      </c>
      <c r="V620">
        <v>5</v>
      </c>
      <c r="W620" t="s">
        <v>350</v>
      </c>
      <c r="X620" t="s">
        <v>349</v>
      </c>
      <c r="Y620" t="s">
        <v>580</v>
      </c>
      <c r="Z620">
        <v>2017</v>
      </c>
      <c r="AB620">
        <v>14</v>
      </c>
      <c r="AC620">
        <v>5.77</v>
      </c>
      <c r="AE620" t="s">
        <v>346</v>
      </c>
      <c r="AF620">
        <v>46.142674</v>
      </c>
      <c r="AG620">
        <v>-115.598088</v>
      </c>
      <c r="AH620">
        <v>14751558</v>
      </c>
    </row>
    <row r="621" spans="2:35">
      <c r="B621" t="s">
        <v>345</v>
      </c>
      <c r="C621" t="s">
        <v>897</v>
      </c>
      <c r="D621" s="3">
        <v>42834.387499999997</v>
      </c>
      <c r="F621">
        <v>2017</v>
      </c>
      <c r="G621" t="s">
        <v>578</v>
      </c>
      <c r="H621" t="s">
        <v>352</v>
      </c>
      <c r="J621">
        <v>0</v>
      </c>
      <c r="L621">
        <v>1</v>
      </c>
      <c r="M621">
        <v>169</v>
      </c>
      <c r="N621">
        <v>43</v>
      </c>
      <c r="O621" t="s">
        <v>575</v>
      </c>
      <c r="Q621" t="s">
        <v>900</v>
      </c>
      <c r="U621">
        <v>5</v>
      </c>
      <c r="V621">
        <v>5</v>
      </c>
      <c r="W621" t="s">
        <v>350</v>
      </c>
      <c r="X621" t="s">
        <v>349</v>
      </c>
      <c r="Y621" t="s">
        <v>580</v>
      </c>
      <c r="Z621">
        <v>2017</v>
      </c>
      <c r="AB621">
        <v>14</v>
      </c>
      <c r="AC621">
        <v>5.77</v>
      </c>
      <c r="AE621" t="s">
        <v>346</v>
      </c>
      <c r="AF621">
        <v>46.142674</v>
      </c>
      <c r="AG621">
        <v>-115.598088</v>
      </c>
      <c r="AH621">
        <v>14751559</v>
      </c>
    </row>
    <row r="622" spans="2:35">
      <c r="B622" t="s">
        <v>345</v>
      </c>
      <c r="C622" t="s">
        <v>897</v>
      </c>
      <c r="D622" s="3">
        <v>42834.387499999997</v>
      </c>
      <c r="F622">
        <v>2017</v>
      </c>
      <c r="G622" t="s">
        <v>578</v>
      </c>
      <c r="H622" t="s">
        <v>352</v>
      </c>
      <c r="J622">
        <v>0</v>
      </c>
      <c r="L622">
        <v>1</v>
      </c>
      <c r="M622">
        <v>187</v>
      </c>
      <c r="N622">
        <v>58</v>
      </c>
      <c r="O622" t="s">
        <v>575</v>
      </c>
      <c r="Q622" t="s">
        <v>901</v>
      </c>
      <c r="U622">
        <v>5</v>
      </c>
      <c r="V622">
        <v>5</v>
      </c>
      <c r="W622" t="s">
        <v>350</v>
      </c>
      <c r="X622" t="s">
        <v>349</v>
      </c>
      <c r="Y622" t="s">
        <v>580</v>
      </c>
      <c r="Z622">
        <v>2017</v>
      </c>
      <c r="AB622">
        <v>14</v>
      </c>
      <c r="AC622">
        <v>5.77</v>
      </c>
      <c r="AE622" t="s">
        <v>346</v>
      </c>
      <c r="AF622">
        <v>46.142674</v>
      </c>
      <c r="AG622">
        <v>-115.598088</v>
      </c>
      <c r="AH622">
        <v>14751560</v>
      </c>
    </row>
    <row r="623" spans="2:35">
      <c r="B623" t="s">
        <v>345</v>
      </c>
      <c r="C623" t="s">
        <v>902</v>
      </c>
      <c r="D623" s="3">
        <v>42855.277083333334</v>
      </c>
      <c r="F623">
        <v>2017</v>
      </c>
      <c r="G623" t="s">
        <v>578</v>
      </c>
      <c r="H623" t="s">
        <v>352</v>
      </c>
      <c r="J623">
        <v>0</v>
      </c>
      <c r="L623">
        <v>1</v>
      </c>
      <c r="M623">
        <v>151</v>
      </c>
      <c r="N623">
        <v>33</v>
      </c>
      <c r="O623" t="s">
        <v>575</v>
      </c>
      <c r="Q623" t="s">
        <v>903</v>
      </c>
      <c r="R623" t="s">
        <v>608</v>
      </c>
      <c r="U623">
        <v>6.5</v>
      </c>
      <c r="V623">
        <v>6.5</v>
      </c>
      <c r="W623" t="s">
        <v>350</v>
      </c>
      <c r="X623" t="s">
        <v>349</v>
      </c>
      <c r="Y623" t="s">
        <v>348</v>
      </c>
      <c r="Z623">
        <v>2017</v>
      </c>
      <c r="AB623">
        <v>12</v>
      </c>
      <c r="AC623">
        <v>5.57</v>
      </c>
      <c r="AE623" t="s">
        <v>346</v>
      </c>
      <c r="AF623">
        <v>46.142674</v>
      </c>
      <c r="AG623">
        <v>-115.598088</v>
      </c>
      <c r="AH623">
        <v>14796278</v>
      </c>
      <c r="AI623">
        <f>17-68356</f>
        <v>-68339</v>
      </c>
    </row>
    <row r="624" spans="2:35">
      <c r="B624" t="s">
        <v>345</v>
      </c>
      <c r="C624" t="s">
        <v>902</v>
      </c>
      <c r="D624" s="3">
        <v>42855.277083333334</v>
      </c>
      <c r="F624">
        <v>2017</v>
      </c>
      <c r="G624" t="s">
        <v>578</v>
      </c>
      <c r="H624" t="s">
        <v>352</v>
      </c>
      <c r="J624">
        <v>0</v>
      </c>
      <c r="L624">
        <v>1</v>
      </c>
      <c r="M624">
        <v>173</v>
      </c>
      <c r="N624">
        <v>42</v>
      </c>
      <c r="O624" t="s">
        <v>575</v>
      </c>
      <c r="Q624" t="s">
        <v>904</v>
      </c>
      <c r="R624" t="s">
        <v>608</v>
      </c>
      <c r="U624">
        <v>6.5</v>
      </c>
      <c r="V624">
        <v>6.5</v>
      </c>
      <c r="W624" t="s">
        <v>350</v>
      </c>
      <c r="X624" t="s">
        <v>349</v>
      </c>
      <c r="Y624" t="s">
        <v>348</v>
      </c>
      <c r="Z624">
        <v>2017</v>
      </c>
      <c r="AB624">
        <v>12</v>
      </c>
      <c r="AC624">
        <v>5.57</v>
      </c>
      <c r="AE624" t="s">
        <v>346</v>
      </c>
      <c r="AF624">
        <v>46.142674</v>
      </c>
      <c r="AG624">
        <v>-115.598088</v>
      </c>
      <c r="AH624">
        <v>14796279</v>
      </c>
      <c r="AI624">
        <f>17-68357</f>
        <v>-68340</v>
      </c>
    </row>
    <row r="625" spans="2:35">
      <c r="B625" t="s">
        <v>345</v>
      </c>
      <c r="C625" t="s">
        <v>902</v>
      </c>
      <c r="D625" s="3">
        <v>42855.277083333334</v>
      </c>
      <c r="F625">
        <v>2017</v>
      </c>
      <c r="G625" t="s">
        <v>578</v>
      </c>
      <c r="H625" t="s">
        <v>352</v>
      </c>
      <c r="J625">
        <v>0</v>
      </c>
      <c r="L625">
        <v>1</v>
      </c>
      <c r="M625">
        <v>210</v>
      </c>
      <c r="N625">
        <v>74</v>
      </c>
      <c r="O625" t="s">
        <v>575</v>
      </c>
      <c r="Q625" t="s">
        <v>905</v>
      </c>
      <c r="R625" t="s">
        <v>608</v>
      </c>
      <c r="U625">
        <v>6.5</v>
      </c>
      <c r="V625">
        <v>6.5</v>
      </c>
      <c r="W625" t="s">
        <v>350</v>
      </c>
      <c r="X625" t="s">
        <v>349</v>
      </c>
      <c r="Y625" t="s">
        <v>348</v>
      </c>
      <c r="Z625">
        <v>2017</v>
      </c>
      <c r="AB625">
        <v>12</v>
      </c>
      <c r="AC625">
        <v>5.57</v>
      </c>
      <c r="AE625" t="s">
        <v>346</v>
      </c>
      <c r="AF625">
        <v>46.142674</v>
      </c>
      <c r="AG625">
        <v>-115.598088</v>
      </c>
      <c r="AH625">
        <v>14796280</v>
      </c>
      <c r="AI625">
        <f>17-68365</f>
        <v>-68348</v>
      </c>
    </row>
    <row r="626" spans="2:35">
      <c r="B626" t="s">
        <v>345</v>
      </c>
      <c r="C626" t="s">
        <v>902</v>
      </c>
      <c r="D626" s="3">
        <v>42855.277083333334</v>
      </c>
      <c r="F626">
        <v>2017</v>
      </c>
      <c r="G626" t="s">
        <v>578</v>
      </c>
      <c r="H626" t="s">
        <v>352</v>
      </c>
      <c r="J626">
        <v>0</v>
      </c>
      <c r="L626">
        <v>1</v>
      </c>
      <c r="M626">
        <v>145</v>
      </c>
      <c r="N626">
        <v>28</v>
      </c>
      <c r="O626" t="s">
        <v>575</v>
      </c>
      <c r="Q626" t="s">
        <v>906</v>
      </c>
      <c r="R626" t="s">
        <v>608</v>
      </c>
      <c r="U626">
        <v>6.5</v>
      </c>
      <c r="V626">
        <v>6.5</v>
      </c>
      <c r="W626" t="s">
        <v>350</v>
      </c>
      <c r="X626" t="s">
        <v>349</v>
      </c>
      <c r="Y626" t="s">
        <v>348</v>
      </c>
      <c r="Z626">
        <v>2017</v>
      </c>
      <c r="AB626">
        <v>12</v>
      </c>
      <c r="AC626">
        <v>5.57</v>
      </c>
      <c r="AE626" t="s">
        <v>346</v>
      </c>
      <c r="AF626">
        <v>46.142674</v>
      </c>
      <c r="AG626">
        <v>-115.598088</v>
      </c>
      <c r="AH626">
        <v>14796281</v>
      </c>
      <c r="AI626">
        <f>17-68355</f>
        <v>-68338</v>
      </c>
    </row>
    <row r="627" spans="2:35">
      <c r="B627" t="s">
        <v>345</v>
      </c>
      <c r="C627" t="s">
        <v>902</v>
      </c>
      <c r="D627" s="3">
        <v>42855.277083333334</v>
      </c>
      <c r="F627">
        <v>2017</v>
      </c>
      <c r="G627" t="s">
        <v>578</v>
      </c>
      <c r="H627" t="s">
        <v>352</v>
      </c>
      <c r="J627">
        <v>0</v>
      </c>
      <c r="L627">
        <v>1</v>
      </c>
      <c r="M627">
        <v>173</v>
      </c>
      <c r="N627">
        <v>44</v>
      </c>
      <c r="O627" t="s">
        <v>575</v>
      </c>
      <c r="Q627" t="s">
        <v>907</v>
      </c>
      <c r="R627" t="s">
        <v>608</v>
      </c>
      <c r="U627">
        <v>6.5</v>
      </c>
      <c r="V627">
        <v>6.5</v>
      </c>
      <c r="W627" t="s">
        <v>350</v>
      </c>
      <c r="X627" t="s">
        <v>349</v>
      </c>
      <c r="Y627" t="s">
        <v>348</v>
      </c>
      <c r="Z627">
        <v>2017</v>
      </c>
      <c r="AB627">
        <v>12</v>
      </c>
      <c r="AC627">
        <v>5.57</v>
      </c>
      <c r="AE627" t="s">
        <v>346</v>
      </c>
      <c r="AF627">
        <v>46.142674</v>
      </c>
      <c r="AG627">
        <v>-115.598088</v>
      </c>
      <c r="AH627">
        <v>14796282</v>
      </c>
      <c r="AI627">
        <f>17-68352</f>
        <v>-68335</v>
      </c>
    </row>
    <row r="628" spans="2:35">
      <c r="B628" t="s">
        <v>345</v>
      </c>
      <c r="C628" t="s">
        <v>902</v>
      </c>
      <c r="D628" s="3">
        <v>42855.277083333334</v>
      </c>
      <c r="F628">
        <v>2017</v>
      </c>
      <c r="G628" t="s">
        <v>578</v>
      </c>
      <c r="H628" t="s">
        <v>352</v>
      </c>
      <c r="J628">
        <v>0</v>
      </c>
      <c r="L628">
        <v>1</v>
      </c>
      <c r="M628">
        <v>175</v>
      </c>
      <c r="N628">
        <v>50</v>
      </c>
      <c r="O628" t="s">
        <v>575</v>
      </c>
      <c r="Q628" t="s">
        <v>908</v>
      </c>
      <c r="R628" t="s">
        <v>608</v>
      </c>
      <c r="U628">
        <v>6.5</v>
      </c>
      <c r="V628">
        <v>6.5</v>
      </c>
      <c r="W628" t="s">
        <v>350</v>
      </c>
      <c r="X628" t="s">
        <v>349</v>
      </c>
      <c r="Y628" t="s">
        <v>348</v>
      </c>
      <c r="Z628">
        <v>2017</v>
      </c>
      <c r="AB628">
        <v>12</v>
      </c>
      <c r="AC628">
        <v>5.57</v>
      </c>
      <c r="AE628" t="s">
        <v>346</v>
      </c>
      <c r="AF628">
        <v>46.142674</v>
      </c>
      <c r="AG628">
        <v>-115.598088</v>
      </c>
      <c r="AH628">
        <v>14796283</v>
      </c>
      <c r="AI628">
        <f>17-68346</f>
        <v>-68329</v>
      </c>
    </row>
    <row r="629" spans="2:35">
      <c r="B629" t="s">
        <v>345</v>
      </c>
      <c r="C629" t="s">
        <v>902</v>
      </c>
      <c r="D629" s="3">
        <v>42855.277083333334</v>
      </c>
      <c r="F629">
        <v>2017</v>
      </c>
      <c r="G629" t="s">
        <v>578</v>
      </c>
      <c r="H629" t="s">
        <v>352</v>
      </c>
      <c r="J629">
        <v>0</v>
      </c>
      <c r="L629">
        <v>1</v>
      </c>
      <c r="M629">
        <v>173</v>
      </c>
      <c r="N629">
        <v>47</v>
      </c>
      <c r="O629" t="s">
        <v>575</v>
      </c>
      <c r="Q629" t="s">
        <v>909</v>
      </c>
      <c r="R629" t="s">
        <v>608</v>
      </c>
      <c r="U629">
        <v>6.5</v>
      </c>
      <c r="V629">
        <v>6.5</v>
      </c>
      <c r="W629" t="s">
        <v>350</v>
      </c>
      <c r="X629" t="s">
        <v>349</v>
      </c>
      <c r="Y629" t="s">
        <v>348</v>
      </c>
      <c r="Z629">
        <v>2017</v>
      </c>
      <c r="AB629">
        <v>12</v>
      </c>
      <c r="AC629">
        <v>5.57</v>
      </c>
      <c r="AE629" t="s">
        <v>346</v>
      </c>
      <c r="AF629">
        <v>46.142674</v>
      </c>
      <c r="AG629">
        <v>-115.598088</v>
      </c>
      <c r="AH629">
        <v>14796284</v>
      </c>
      <c r="AI629">
        <f>17-68354</f>
        <v>-68337</v>
      </c>
    </row>
    <row r="630" spans="2:35">
      <c r="B630" t="s">
        <v>345</v>
      </c>
      <c r="C630" t="s">
        <v>902</v>
      </c>
      <c r="D630" s="3">
        <v>42855.277083333334</v>
      </c>
      <c r="F630">
        <v>2017</v>
      </c>
      <c r="G630" t="s">
        <v>574</v>
      </c>
      <c r="H630" t="s">
        <v>352</v>
      </c>
      <c r="J630">
        <v>0</v>
      </c>
      <c r="L630">
        <v>1</v>
      </c>
      <c r="M630">
        <v>104</v>
      </c>
      <c r="N630">
        <v>12</v>
      </c>
      <c r="O630" t="s">
        <v>575</v>
      </c>
      <c r="Q630" t="s">
        <v>576</v>
      </c>
      <c r="R630" t="s">
        <v>608</v>
      </c>
      <c r="U630">
        <v>6.5</v>
      </c>
      <c r="V630">
        <v>6.5</v>
      </c>
      <c r="W630" t="s">
        <v>350</v>
      </c>
      <c r="X630" t="s">
        <v>349</v>
      </c>
      <c r="Y630" t="s">
        <v>348</v>
      </c>
      <c r="Z630">
        <v>2017</v>
      </c>
      <c r="AB630">
        <v>12</v>
      </c>
      <c r="AC630">
        <v>5.57</v>
      </c>
      <c r="AE630" t="s">
        <v>346</v>
      </c>
      <c r="AF630">
        <v>46.142674</v>
      </c>
      <c r="AG630">
        <v>-115.598088</v>
      </c>
      <c r="AH630">
        <v>14796285</v>
      </c>
    </row>
    <row r="631" spans="2:35">
      <c r="B631" t="s">
        <v>345</v>
      </c>
      <c r="C631" t="s">
        <v>902</v>
      </c>
      <c r="D631" s="3">
        <v>42855.277083333334</v>
      </c>
      <c r="F631">
        <v>2017</v>
      </c>
      <c r="G631" t="s">
        <v>615</v>
      </c>
      <c r="H631" t="s">
        <v>352</v>
      </c>
      <c r="J631">
        <v>0</v>
      </c>
      <c r="L631">
        <v>1</v>
      </c>
      <c r="M631">
        <v>206</v>
      </c>
      <c r="N631">
        <v>94</v>
      </c>
      <c r="O631" t="s">
        <v>353</v>
      </c>
      <c r="R631" t="s">
        <v>608</v>
      </c>
      <c r="U631">
        <v>6.5</v>
      </c>
      <c r="V631">
        <v>6.5</v>
      </c>
      <c r="W631" t="s">
        <v>350</v>
      </c>
      <c r="X631" t="s">
        <v>349</v>
      </c>
      <c r="Y631" t="s">
        <v>348</v>
      </c>
      <c r="Z631">
        <v>2017</v>
      </c>
      <c r="AB631">
        <v>12</v>
      </c>
      <c r="AC631">
        <v>5.57</v>
      </c>
      <c r="AE631" t="s">
        <v>346</v>
      </c>
      <c r="AF631">
        <v>46.142674</v>
      </c>
      <c r="AG631">
        <v>-115.598088</v>
      </c>
      <c r="AH631">
        <v>14796286</v>
      </c>
    </row>
    <row r="632" spans="2:35">
      <c r="B632" t="s">
        <v>345</v>
      </c>
      <c r="C632" t="s">
        <v>902</v>
      </c>
      <c r="D632" s="3">
        <v>42855.277083333334</v>
      </c>
      <c r="F632">
        <v>2017</v>
      </c>
      <c r="G632" t="s">
        <v>578</v>
      </c>
      <c r="H632" t="s">
        <v>352</v>
      </c>
      <c r="J632">
        <v>0</v>
      </c>
      <c r="L632">
        <v>1</v>
      </c>
      <c r="M632">
        <v>130</v>
      </c>
      <c r="N632">
        <v>19</v>
      </c>
      <c r="O632" t="s">
        <v>575</v>
      </c>
      <c r="Q632" t="s">
        <v>910</v>
      </c>
      <c r="R632" t="s">
        <v>608</v>
      </c>
      <c r="U632">
        <v>6.5</v>
      </c>
      <c r="V632">
        <v>6.5</v>
      </c>
      <c r="W632" t="s">
        <v>350</v>
      </c>
      <c r="X632" t="s">
        <v>349</v>
      </c>
      <c r="Y632" t="s">
        <v>348</v>
      </c>
      <c r="Z632">
        <v>2017</v>
      </c>
      <c r="AB632">
        <v>12</v>
      </c>
      <c r="AC632">
        <v>5.57</v>
      </c>
      <c r="AE632" t="s">
        <v>346</v>
      </c>
      <c r="AF632">
        <v>46.142674</v>
      </c>
      <c r="AG632">
        <v>-115.598088</v>
      </c>
      <c r="AH632">
        <v>14796287</v>
      </c>
      <c r="AI632">
        <f>17-68351</f>
        <v>-68334</v>
      </c>
    </row>
    <row r="633" spans="2:35">
      <c r="B633" t="s">
        <v>345</v>
      </c>
      <c r="C633" t="s">
        <v>902</v>
      </c>
      <c r="D633" s="3">
        <v>42855.277083333334</v>
      </c>
      <c r="F633">
        <v>2017</v>
      </c>
      <c r="G633" t="s">
        <v>578</v>
      </c>
      <c r="H633" t="s">
        <v>352</v>
      </c>
      <c r="J633">
        <v>0</v>
      </c>
      <c r="L633">
        <v>1</v>
      </c>
      <c r="M633">
        <v>206</v>
      </c>
      <c r="N633">
        <v>77</v>
      </c>
      <c r="O633" t="s">
        <v>575</v>
      </c>
      <c r="Q633" t="s">
        <v>911</v>
      </c>
      <c r="R633" t="s">
        <v>608</v>
      </c>
      <c r="U633">
        <v>6.5</v>
      </c>
      <c r="V633">
        <v>6.5</v>
      </c>
      <c r="W633" t="s">
        <v>350</v>
      </c>
      <c r="X633" t="s">
        <v>349</v>
      </c>
      <c r="Y633" t="s">
        <v>348</v>
      </c>
      <c r="Z633">
        <v>2017</v>
      </c>
      <c r="AB633">
        <v>12</v>
      </c>
      <c r="AC633">
        <v>5.57</v>
      </c>
      <c r="AE633" t="s">
        <v>346</v>
      </c>
      <c r="AF633">
        <v>46.142674</v>
      </c>
      <c r="AG633">
        <v>-115.598088</v>
      </c>
      <c r="AH633">
        <v>14796288</v>
      </c>
      <c r="AI633">
        <f>17-68348</f>
        <v>-68331</v>
      </c>
    </row>
    <row r="634" spans="2:35">
      <c r="B634" t="s">
        <v>345</v>
      </c>
      <c r="C634" t="s">
        <v>902</v>
      </c>
      <c r="D634" s="3">
        <v>42855.277083333334</v>
      </c>
      <c r="F634">
        <v>2017</v>
      </c>
      <c r="G634" t="s">
        <v>578</v>
      </c>
      <c r="H634" t="s">
        <v>352</v>
      </c>
      <c r="J634">
        <v>0</v>
      </c>
      <c r="L634">
        <v>1</v>
      </c>
      <c r="M634">
        <v>211</v>
      </c>
      <c r="N634">
        <v>81</v>
      </c>
      <c r="O634" t="s">
        <v>575</v>
      </c>
      <c r="Q634" t="s">
        <v>912</v>
      </c>
      <c r="R634" t="s">
        <v>608</v>
      </c>
      <c r="U634">
        <v>6.5</v>
      </c>
      <c r="V634">
        <v>6.5</v>
      </c>
      <c r="W634" t="s">
        <v>350</v>
      </c>
      <c r="X634" t="s">
        <v>349</v>
      </c>
      <c r="Y634" t="s">
        <v>348</v>
      </c>
      <c r="Z634">
        <v>2017</v>
      </c>
      <c r="AB634">
        <v>12</v>
      </c>
      <c r="AC634">
        <v>5.57</v>
      </c>
      <c r="AE634" t="s">
        <v>346</v>
      </c>
      <c r="AF634">
        <v>46.142674</v>
      </c>
      <c r="AG634">
        <v>-115.598088</v>
      </c>
      <c r="AH634">
        <v>14796289</v>
      </c>
      <c r="AI634">
        <f>17-68358</f>
        <v>-68341</v>
      </c>
    </row>
    <row r="635" spans="2:35">
      <c r="B635" t="s">
        <v>345</v>
      </c>
      <c r="C635" t="s">
        <v>902</v>
      </c>
      <c r="D635" s="3">
        <v>42855.277083333334</v>
      </c>
      <c r="F635">
        <v>2017</v>
      </c>
      <c r="G635" t="s">
        <v>578</v>
      </c>
      <c r="H635" t="s">
        <v>352</v>
      </c>
      <c r="J635">
        <v>0</v>
      </c>
      <c r="L635">
        <v>1</v>
      </c>
      <c r="M635">
        <v>189</v>
      </c>
      <c r="N635">
        <v>61</v>
      </c>
      <c r="O635" t="s">
        <v>575</v>
      </c>
      <c r="Q635" t="s">
        <v>913</v>
      </c>
      <c r="R635" t="s">
        <v>608</v>
      </c>
      <c r="U635">
        <v>6.5</v>
      </c>
      <c r="V635">
        <v>6.5</v>
      </c>
      <c r="W635" t="s">
        <v>350</v>
      </c>
      <c r="X635" t="s">
        <v>349</v>
      </c>
      <c r="Y635" t="s">
        <v>348</v>
      </c>
      <c r="Z635">
        <v>2017</v>
      </c>
      <c r="AB635">
        <v>12</v>
      </c>
      <c r="AC635">
        <v>5.57</v>
      </c>
      <c r="AE635" t="s">
        <v>346</v>
      </c>
      <c r="AF635">
        <v>46.142674</v>
      </c>
      <c r="AG635">
        <v>-115.598088</v>
      </c>
      <c r="AH635">
        <v>14796290</v>
      </c>
      <c r="AI635">
        <f>17-68349</f>
        <v>-68332</v>
      </c>
    </row>
    <row r="636" spans="2:35">
      <c r="B636" t="s">
        <v>345</v>
      </c>
      <c r="C636" t="s">
        <v>902</v>
      </c>
      <c r="D636" s="3">
        <v>42855.277083333334</v>
      </c>
      <c r="F636">
        <v>2017</v>
      </c>
      <c r="G636" t="s">
        <v>578</v>
      </c>
      <c r="H636" t="s">
        <v>352</v>
      </c>
      <c r="J636">
        <v>0</v>
      </c>
      <c r="L636">
        <v>1</v>
      </c>
      <c r="M636">
        <v>192</v>
      </c>
      <c r="N636">
        <v>64</v>
      </c>
      <c r="O636" t="s">
        <v>575</v>
      </c>
      <c r="Q636" t="s">
        <v>914</v>
      </c>
      <c r="R636" t="s">
        <v>608</v>
      </c>
      <c r="U636">
        <v>6.5</v>
      </c>
      <c r="V636">
        <v>6.5</v>
      </c>
      <c r="W636" t="s">
        <v>350</v>
      </c>
      <c r="X636" t="s">
        <v>349</v>
      </c>
      <c r="Y636" t="s">
        <v>348</v>
      </c>
      <c r="Z636">
        <v>2017</v>
      </c>
      <c r="AB636">
        <v>12</v>
      </c>
      <c r="AC636">
        <v>5.57</v>
      </c>
      <c r="AE636" t="s">
        <v>346</v>
      </c>
      <c r="AF636">
        <v>46.142674</v>
      </c>
      <c r="AG636">
        <v>-115.598088</v>
      </c>
      <c r="AH636">
        <v>14796291</v>
      </c>
      <c r="AI636">
        <f>17-68360</f>
        <v>-68343</v>
      </c>
    </row>
    <row r="637" spans="2:35">
      <c r="B637" t="s">
        <v>345</v>
      </c>
      <c r="C637" t="s">
        <v>902</v>
      </c>
      <c r="D637" s="3">
        <v>42855.277083333334</v>
      </c>
      <c r="F637">
        <v>2017</v>
      </c>
      <c r="G637" t="s">
        <v>578</v>
      </c>
      <c r="H637" t="s">
        <v>352</v>
      </c>
      <c r="J637">
        <v>0</v>
      </c>
      <c r="L637">
        <v>1</v>
      </c>
      <c r="M637">
        <v>156</v>
      </c>
      <c r="N637">
        <v>33</v>
      </c>
      <c r="O637" t="s">
        <v>575</v>
      </c>
      <c r="Q637" t="s">
        <v>915</v>
      </c>
      <c r="R637" t="s">
        <v>608</v>
      </c>
      <c r="U637">
        <v>6.5</v>
      </c>
      <c r="V637">
        <v>6.5</v>
      </c>
      <c r="W637" t="s">
        <v>350</v>
      </c>
      <c r="X637" t="s">
        <v>349</v>
      </c>
      <c r="Y637" t="s">
        <v>348</v>
      </c>
      <c r="Z637">
        <v>2017</v>
      </c>
      <c r="AB637">
        <v>12</v>
      </c>
      <c r="AC637">
        <v>5.57</v>
      </c>
      <c r="AE637" t="s">
        <v>346</v>
      </c>
      <c r="AF637">
        <v>46.142674</v>
      </c>
      <c r="AG637">
        <v>-115.598088</v>
      </c>
      <c r="AH637">
        <v>14796292</v>
      </c>
      <c r="AI637">
        <f>17-68362</f>
        <v>-68345</v>
      </c>
    </row>
    <row r="638" spans="2:35">
      <c r="B638" t="s">
        <v>345</v>
      </c>
      <c r="C638" t="s">
        <v>902</v>
      </c>
      <c r="D638" s="3">
        <v>42855.277083333334</v>
      </c>
      <c r="F638">
        <v>2017</v>
      </c>
      <c r="G638" t="s">
        <v>574</v>
      </c>
      <c r="H638" t="s">
        <v>352</v>
      </c>
      <c r="J638">
        <v>0</v>
      </c>
      <c r="L638">
        <v>1</v>
      </c>
      <c r="M638">
        <v>101</v>
      </c>
      <c r="N638">
        <v>11</v>
      </c>
      <c r="O638" t="s">
        <v>575</v>
      </c>
      <c r="Q638" t="s">
        <v>576</v>
      </c>
      <c r="R638" t="s">
        <v>608</v>
      </c>
      <c r="U638">
        <v>6.5</v>
      </c>
      <c r="V638">
        <v>6.5</v>
      </c>
      <c r="W638" t="s">
        <v>350</v>
      </c>
      <c r="X638" t="s">
        <v>349</v>
      </c>
      <c r="Y638" t="s">
        <v>348</v>
      </c>
      <c r="Z638">
        <v>2017</v>
      </c>
      <c r="AB638">
        <v>12</v>
      </c>
      <c r="AC638">
        <v>5.57</v>
      </c>
      <c r="AE638" t="s">
        <v>346</v>
      </c>
      <c r="AF638">
        <v>46.142674</v>
      </c>
      <c r="AG638">
        <v>-115.598088</v>
      </c>
      <c r="AH638">
        <v>14796293</v>
      </c>
    </row>
    <row r="639" spans="2:35">
      <c r="B639" t="s">
        <v>345</v>
      </c>
      <c r="C639" t="s">
        <v>902</v>
      </c>
      <c r="D639" s="3">
        <v>42855.277083333334</v>
      </c>
      <c r="F639">
        <v>2017</v>
      </c>
      <c r="G639" t="s">
        <v>578</v>
      </c>
      <c r="H639" t="s">
        <v>352</v>
      </c>
      <c r="J639">
        <v>0</v>
      </c>
      <c r="L639">
        <v>1</v>
      </c>
      <c r="M639">
        <v>172</v>
      </c>
      <c r="N639">
        <v>43</v>
      </c>
      <c r="O639" t="s">
        <v>575</v>
      </c>
      <c r="Q639" t="s">
        <v>916</v>
      </c>
      <c r="R639" t="s">
        <v>608</v>
      </c>
      <c r="U639">
        <v>6.5</v>
      </c>
      <c r="V639">
        <v>6.5</v>
      </c>
      <c r="W639" t="s">
        <v>350</v>
      </c>
      <c r="X639" t="s">
        <v>349</v>
      </c>
      <c r="Y639" t="s">
        <v>348</v>
      </c>
      <c r="Z639">
        <v>2017</v>
      </c>
      <c r="AB639">
        <v>12</v>
      </c>
      <c r="AC639">
        <v>5.57</v>
      </c>
      <c r="AE639" t="s">
        <v>346</v>
      </c>
      <c r="AF639">
        <v>46.142674</v>
      </c>
      <c r="AG639">
        <v>-115.598088</v>
      </c>
      <c r="AH639">
        <v>14796294</v>
      </c>
      <c r="AI639">
        <f>17-68350</f>
        <v>-68333</v>
      </c>
    </row>
    <row r="640" spans="2:35">
      <c r="B640" t="s">
        <v>345</v>
      </c>
      <c r="C640" t="s">
        <v>902</v>
      </c>
      <c r="D640" s="3">
        <v>42855.277083333334</v>
      </c>
      <c r="F640">
        <v>2017</v>
      </c>
      <c r="G640" t="s">
        <v>578</v>
      </c>
      <c r="H640" t="s">
        <v>352</v>
      </c>
      <c r="J640">
        <v>0</v>
      </c>
      <c r="L640">
        <v>1</v>
      </c>
      <c r="M640">
        <v>175</v>
      </c>
      <c r="N640">
        <v>53</v>
      </c>
      <c r="O640" t="s">
        <v>575</v>
      </c>
      <c r="Q640" t="s">
        <v>917</v>
      </c>
      <c r="R640" t="s">
        <v>608</v>
      </c>
      <c r="U640">
        <v>6.5</v>
      </c>
      <c r="V640">
        <v>6.5</v>
      </c>
      <c r="W640" t="s">
        <v>350</v>
      </c>
      <c r="X640" t="s">
        <v>349</v>
      </c>
      <c r="Y640" t="s">
        <v>348</v>
      </c>
      <c r="Z640">
        <v>2017</v>
      </c>
      <c r="AB640">
        <v>12</v>
      </c>
      <c r="AC640">
        <v>5.57</v>
      </c>
      <c r="AE640" t="s">
        <v>346</v>
      </c>
      <c r="AF640">
        <v>46.142674</v>
      </c>
      <c r="AG640">
        <v>-115.598088</v>
      </c>
      <c r="AH640">
        <v>14796295</v>
      </c>
      <c r="AI640">
        <f>17-68353</f>
        <v>-68336</v>
      </c>
    </row>
    <row r="641" spans="2:35">
      <c r="B641" t="s">
        <v>345</v>
      </c>
      <c r="C641" t="s">
        <v>902</v>
      </c>
      <c r="D641" s="3">
        <v>42855.277083333334</v>
      </c>
      <c r="F641">
        <v>2017</v>
      </c>
      <c r="G641" t="s">
        <v>578</v>
      </c>
      <c r="H641" t="s">
        <v>352</v>
      </c>
      <c r="J641">
        <v>0</v>
      </c>
      <c r="L641">
        <v>1</v>
      </c>
      <c r="M641">
        <v>197</v>
      </c>
      <c r="N641">
        <v>66</v>
      </c>
      <c r="O641" t="s">
        <v>575</v>
      </c>
      <c r="Q641" t="s">
        <v>918</v>
      </c>
      <c r="R641" t="s">
        <v>608</v>
      </c>
      <c r="U641">
        <v>6.5</v>
      </c>
      <c r="V641">
        <v>6.5</v>
      </c>
      <c r="W641" t="s">
        <v>350</v>
      </c>
      <c r="X641" t="s">
        <v>349</v>
      </c>
      <c r="Y641" t="s">
        <v>348</v>
      </c>
      <c r="Z641">
        <v>2017</v>
      </c>
      <c r="AB641">
        <v>12</v>
      </c>
      <c r="AC641">
        <v>5.57</v>
      </c>
      <c r="AE641" t="s">
        <v>346</v>
      </c>
      <c r="AF641">
        <v>46.142674</v>
      </c>
      <c r="AG641">
        <v>-115.598088</v>
      </c>
      <c r="AH641">
        <v>14796296</v>
      </c>
      <c r="AI641">
        <f>17-68361</f>
        <v>-68344</v>
      </c>
    </row>
    <row r="642" spans="2:35">
      <c r="B642" t="s">
        <v>345</v>
      </c>
      <c r="C642" t="s">
        <v>902</v>
      </c>
      <c r="D642" s="3">
        <v>42855.277083333334</v>
      </c>
      <c r="F642">
        <v>2017</v>
      </c>
      <c r="G642" t="s">
        <v>578</v>
      </c>
      <c r="H642" t="s">
        <v>352</v>
      </c>
      <c r="J642">
        <v>0</v>
      </c>
      <c r="L642">
        <v>1</v>
      </c>
      <c r="M642">
        <v>178</v>
      </c>
      <c r="N642">
        <v>52</v>
      </c>
      <c r="O642" t="s">
        <v>575</v>
      </c>
      <c r="Q642" t="s">
        <v>919</v>
      </c>
      <c r="R642" t="s">
        <v>608</v>
      </c>
      <c r="U642">
        <v>6.5</v>
      </c>
      <c r="V642">
        <v>6.5</v>
      </c>
      <c r="W642" t="s">
        <v>350</v>
      </c>
      <c r="X642" t="s">
        <v>349</v>
      </c>
      <c r="Y642" t="s">
        <v>348</v>
      </c>
      <c r="Z642">
        <v>2017</v>
      </c>
      <c r="AB642">
        <v>12</v>
      </c>
      <c r="AC642">
        <v>5.57</v>
      </c>
      <c r="AE642" t="s">
        <v>346</v>
      </c>
      <c r="AF642">
        <v>46.142674</v>
      </c>
      <c r="AG642">
        <v>-115.598088</v>
      </c>
      <c r="AH642">
        <v>14796297</v>
      </c>
      <c r="AI642">
        <f>17-68347</f>
        <v>-68330</v>
      </c>
    </row>
    <row r="643" spans="2:35">
      <c r="B643" t="s">
        <v>345</v>
      </c>
      <c r="C643" t="s">
        <v>902</v>
      </c>
      <c r="D643" s="3">
        <v>42855.277083333334</v>
      </c>
      <c r="F643">
        <v>2017</v>
      </c>
      <c r="G643" t="s">
        <v>578</v>
      </c>
      <c r="H643" t="s">
        <v>352</v>
      </c>
      <c r="J643">
        <v>0</v>
      </c>
      <c r="L643">
        <v>1</v>
      </c>
      <c r="M643">
        <v>207</v>
      </c>
      <c r="N643">
        <v>82</v>
      </c>
      <c r="O643" t="s">
        <v>575</v>
      </c>
      <c r="Q643" t="s">
        <v>920</v>
      </c>
      <c r="R643" t="s">
        <v>608</v>
      </c>
      <c r="U643">
        <v>6.5</v>
      </c>
      <c r="V643">
        <v>6.5</v>
      </c>
      <c r="W643" t="s">
        <v>350</v>
      </c>
      <c r="X643" t="s">
        <v>349</v>
      </c>
      <c r="Y643" t="s">
        <v>348</v>
      </c>
      <c r="Z643">
        <v>2017</v>
      </c>
      <c r="AB643">
        <v>12</v>
      </c>
      <c r="AC643">
        <v>5.57</v>
      </c>
      <c r="AE643" t="s">
        <v>346</v>
      </c>
      <c r="AF643">
        <v>46.142674</v>
      </c>
      <c r="AG643">
        <v>-115.598088</v>
      </c>
      <c r="AH643">
        <v>14796298</v>
      </c>
      <c r="AI643">
        <f>17-68359</f>
        <v>-68342</v>
      </c>
    </row>
    <row r="644" spans="2:35">
      <c r="B644" t="s">
        <v>345</v>
      </c>
      <c r="C644" t="s">
        <v>902</v>
      </c>
      <c r="D644" s="3">
        <v>42855.277083333334</v>
      </c>
      <c r="F644">
        <v>2017</v>
      </c>
      <c r="G644" t="s">
        <v>578</v>
      </c>
      <c r="H644" t="s">
        <v>352</v>
      </c>
      <c r="J644">
        <v>0</v>
      </c>
      <c r="L644">
        <v>1</v>
      </c>
      <c r="M644">
        <v>188</v>
      </c>
      <c r="N644">
        <v>55</v>
      </c>
      <c r="O644" t="s">
        <v>575</v>
      </c>
      <c r="Q644" t="s">
        <v>921</v>
      </c>
      <c r="R644" t="s">
        <v>608</v>
      </c>
      <c r="U644">
        <v>6.5</v>
      </c>
      <c r="V644">
        <v>6.5</v>
      </c>
      <c r="W644" t="s">
        <v>350</v>
      </c>
      <c r="X644" t="s">
        <v>349</v>
      </c>
      <c r="Y644" t="s">
        <v>348</v>
      </c>
      <c r="Z644">
        <v>2017</v>
      </c>
      <c r="AB644">
        <v>12</v>
      </c>
      <c r="AC644">
        <v>5.57</v>
      </c>
      <c r="AE644" t="s">
        <v>346</v>
      </c>
      <c r="AF644">
        <v>46.142674</v>
      </c>
      <c r="AG644">
        <v>-115.598088</v>
      </c>
      <c r="AH644">
        <v>14796299</v>
      </c>
      <c r="AI644">
        <f>17-68364</f>
        <v>-68347</v>
      </c>
    </row>
    <row r="645" spans="2:35">
      <c r="B645" t="s">
        <v>345</v>
      </c>
      <c r="C645" t="s">
        <v>902</v>
      </c>
      <c r="D645" s="3">
        <v>42855.277083333334</v>
      </c>
      <c r="F645">
        <v>2017</v>
      </c>
      <c r="G645" t="s">
        <v>578</v>
      </c>
      <c r="H645" t="s">
        <v>352</v>
      </c>
      <c r="J645">
        <v>0</v>
      </c>
      <c r="L645">
        <v>1</v>
      </c>
      <c r="M645">
        <v>168</v>
      </c>
      <c r="N645">
        <v>50</v>
      </c>
      <c r="O645" t="s">
        <v>575</v>
      </c>
      <c r="Q645" t="s">
        <v>922</v>
      </c>
      <c r="R645" t="s">
        <v>608</v>
      </c>
      <c r="U645">
        <v>6.5</v>
      </c>
      <c r="V645">
        <v>6.5</v>
      </c>
      <c r="W645" t="s">
        <v>350</v>
      </c>
      <c r="X645" t="s">
        <v>349</v>
      </c>
      <c r="Y645" t="s">
        <v>348</v>
      </c>
      <c r="Z645">
        <v>2017</v>
      </c>
      <c r="AB645">
        <v>12</v>
      </c>
      <c r="AC645">
        <v>5.57</v>
      </c>
      <c r="AE645" t="s">
        <v>346</v>
      </c>
      <c r="AF645">
        <v>46.142674</v>
      </c>
      <c r="AG645">
        <v>-115.598088</v>
      </c>
      <c r="AH645">
        <v>14796300</v>
      </c>
      <c r="AI645">
        <f>17-68363</f>
        <v>-68346</v>
      </c>
    </row>
    <row r="646" spans="2:35">
      <c r="B646" t="s">
        <v>345</v>
      </c>
      <c r="C646" t="s">
        <v>833</v>
      </c>
      <c r="D646" s="3">
        <v>42839.298611111109</v>
      </c>
      <c r="F646">
        <v>2017</v>
      </c>
      <c r="G646" t="s">
        <v>578</v>
      </c>
      <c r="H646" t="s">
        <v>352</v>
      </c>
      <c r="J646">
        <v>0</v>
      </c>
      <c r="L646">
        <v>1</v>
      </c>
      <c r="M646">
        <v>190</v>
      </c>
      <c r="N646">
        <v>58</v>
      </c>
      <c r="O646" t="s">
        <v>575</v>
      </c>
      <c r="Q646" t="s">
        <v>923</v>
      </c>
      <c r="R646" t="s">
        <v>608</v>
      </c>
      <c r="U646">
        <v>5</v>
      </c>
      <c r="V646">
        <v>5</v>
      </c>
      <c r="W646" t="s">
        <v>350</v>
      </c>
      <c r="X646" t="s">
        <v>349</v>
      </c>
      <c r="Y646" t="s">
        <v>348</v>
      </c>
      <c r="Z646">
        <v>2017</v>
      </c>
      <c r="AB646">
        <v>14</v>
      </c>
      <c r="AC646">
        <v>5.48</v>
      </c>
      <c r="AE646" t="s">
        <v>346</v>
      </c>
      <c r="AF646">
        <v>46.142674</v>
      </c>
      <c r="AG646">
        <v>-115.598088</v>
      </c>
      <c r="AH646">
        <v>14669915</v>
      </c>
      <c r="AI646">
        <f>17-68046</f>
        <v>-68029</v>
      </c>
    </row>
    <row r="647" spans="2:35">
      <c r="B647" t="s">
        <v>345</v>
      </c>
      <c r="C647" t="s">
        <v>924</v>
      </c>
      <c r="D647" s="3">
        <v>42976.689583333333</v>
      </c>
      <c r="F647">
        <v>2017</v>
      </c>
      <c r="G647" t="s">
        <v>605</v>
      </c>
      <c r="H647" t="s">
        <v>352</v>
      </c>
      <c r="J647">
        <v>0</v>
      </c>
      <c r="L647">
        <v>15</v>
      </c>
      <c r="M647">
        <v>0</v>
      </c>
      <c r="N647">
        <v>0</v>
      </c>
      <c r="O647" t="s">
        <v>606</v>
      </c>
      <c r="R647" t="s">
        <v>603</v>
      </c>
      <c r="U647">
        <v>25</v>
      </c>
      <c r="V647">
        <v>25</v>
      </c>
      <c r="W647" t="s">
        <v>350</v>
      </c>
      <c r="X647" t="s">
        <v>349</v>
      </c>
      <c r="Y647" t="s">
        <v>348</v>
      </c>
      <c r="Z647">
        <v>2017</v>
      </c>
      <c r="AB647">
        <v>5</v>
      </c>
      <c r="AC647">
        <v>1.83</v>
      </c>
      <c r="AE647" t="s">
        <v>346</v>
      </c>
      <c r="AF647">
        <v>46.142674</v>
      </c>
      <c r="AG647">
        <v>-115.598088</v>
      </c>
      <c r="AH647">
        <v>14708231</v>
      </c>
    </row>
    <row r="648" spans="2:35">
      <c r="B648" t="s">
        <v>345</v>
      </c>
      <c r="C648" t="s">
        <v>924</v>
      </c>
      <c r="D648" s="3">
        <v>42976.689583333333</v>
      </c>
      <c r="F648">
        <v>2017</v>
      </c>
      <c r="G648" t="s">
        <v>578</v>
      </c>
      <c r="H648" t="s">
        <v>352</v>
      </c>
      <c r="J648">
        <v>0</v>
      </c>
      <c r="L648">
        <v>1</v>
      </c>
      <c r="M648">
        <v>0</v>
      </c>
      <c r="N648">
        <v>0</v>
      </c>
      <c r="O648" t="s">
        <v>773</v>
      </c>
      <c r="R648" t="s">
        <v>603</v>
      </c>
      <c r="U648">
        <v>25</v>
      </c>
      <c r="V648">
        <v>25</v>
      </c>
      <c r="W648" t="s">
        <v>350</v>
      </c>
      <c r="X648" t="s">
        <v>349</v>
      </c>
      <c r="Y648" t="s">
        <v>348</v>
      </c>
      <c r="Z648">
        <v>2017</v>
      </c>
      <c r="AB648">
        <v>5</v>
      </c>
      <c r="AC648">
        <v>1.83</v>
      </c>
      <c r="AE648" t="s">
        <v>346</v>
      </c>
      <c r="AF648">
        <v>46.142674</v>
      </c>
      <c r="AG648">
        <v>-115.598088</v>
      </c>
      <c r="AH648">
        <v>14708232</v>
      </c>
    </row>
    <row r="649" spans="2:35">
      <c r="B649" t="s">
        <v>345</v>
      </c>
      <c r="C649" t="s">
        <v>924</v>
      </c>
      <c r="D649" s="3">
        <v>42976.689583333333</v>
      </c>
      <c r="F649">
        <v>2017</v>
      </c>
      <c r="G649" t="s">
        <v>604</v>
      </c>
      <c r="H649" t="s">
        <v>352</v>
      </c>
      <c r="J649">
        <v>0</v>
      </c>
      <c r="L649">
        <v>1</v>
      </c>
      <c r="M649">
        <v>0</v>
      </c>
      <c r="N649">
        <v>0</v>
      </c>
      <c r="O649" t="s">
        <v>353</v>
      </c>
      <c r="R649" t="s">
        <v>603</v>
      </c>
      <c r="U649">
        <v>25</v>
      </c>
      <c r="V649">
        <v>25</v>
      </c>
      <c r="W649" t="s">
        <v>350</v>
      </c>
      <c r="X649" t="s">
        <v>349</v>
      </c>
      <c r="Y649" t="s">
        <v>348</v>
      </c>
      <c r="Z649">
        <v>2017</v>
      </c>
      <c r="AB649">
        <v>5</v>
      </c>
      <c r="AC649">
        <v>1.83</v>
      </c>
      <c r="AE649" t="s">
        <v>346</v>
      </c>
      <c r="AF649">
        <v>46.142674</v>
      </c>
      <c r="AG649">
        <v>-115.598088</v>
      </c>
      <c r="AH649">
        <v>14708233</v>
      </c>
    </row>
    <row r="650" spans="2:35">
      <c r="B650" t="s">
        <v>345</v>
      </c>
      <c r="C650" t="s">
        <v>924</v>
      </c>
      <c r="D650" s="3">
        <v>42976.689583333333</v>
      </c>
      <c r="F650">
        <v>2017</v>
      </c>
      <c r="G650" t="s">
        <v>480</v>
      </c>
      <c r="H650" t="s">
        <v>352</v>
      </c>
      <c r="J650">
        <v>0</v>
      </c>
      <c r="L650">
        <v>2</v>
      </c>
      <c r="M650">
        <v>0</v>
      </c>
      <c r="N650">
        <v>0</v>
      </c>
      <c r="O650" t="s">
        <v>643</v>
      </c>
      <c r="R650" t="s">
        <v>603</v>
      </c>
      <c r="U650">
        <v>25</v>
      </c>
      <c r="V650">
        <v>25</v>
      </c>
      <c r="W650" t="s">
        <v>350</v>
      </c>
      <c r="X650" t="s">
        <v>349</v>
      </c>
      <c r="Y650" t="s">
        <v>348</v>
      </c>
      <c r="Z650">
        <v>2017</v>
      </c>
      <c r="AB650">
        <v>5</v>
      </c>
      <c r="AC650">
        <v>1.83</v>
      </c>
      <c r="AE650" t="s">
        <v>346</v>
      </c>
      <c r="AF650">
        <v>46.142674</v>
      </c>
      <c r="AG650">
        <v>-115.598088</v>
      </c>
      <c r="AH650">
        <v>14708234</v>
      </c>
    </row>
    <row r="651" spans="2:35">
      <c r="B651" t="s">
        <v>345</v>
      </c>
      <c r="C651" t="s">
        <v>925</v>
      </c>
      <c r="D651" s="3">
        <v>42856.598611111112</v>
      </c>
      <c r="F651">
        <v>2017</v>
      </c>
      <c r="G651" t="s">
        <v>578</v>
      </c>
      <c r="H651" t="s">
        <v>352</v>
      </c>
      <c r="J651">
        <v>0</v>
      </c>
      <c r="L651">
        <v>1</v>
      </c>
      <c r="M651">
        <v>173</v>
      </c>
      <c r="N651">
        <v>45</v>
      </c>
      <c r="O651" t="s">
        <v>575</v>
      </c>
      <c r="Q651" t="s">
        <v>926</v>
      </c>
      <c r="R651" t="s">
        <v>927</v>
      </c>
      <c r="U651">
        <v>8</v>
      </c>
      <c r="V651">
        <v>8</v>
      </c>
      <c r="W651" t="s">
        <v>350</v>
      </c>
      <c r="X651" t="s">
        <v>349</v>
      </c>
      <c r="Y651" t="s">
        <v>928</v>
      </c>
      <c r="Z651">
        <v>2017</v>
      </c>
      <c r="AB651">
        <v>13</v>
      </c>
      <c r="AC651">
        <v>5.65</v>
      </c>
      <c r="AE651" t="s">
        <v>346</v>
      </c>
      <c r="AF651">
        <v>46.142674</v>
      </c>
      <c r="AG651">
        <v>-115.598088</v>
      </c>
      <c r="AH651">
        <v>14823546</v>
      </c>
    </row>
    <row r="652" spans="2:35">
      <c r="B652" t="s">
        <v>345</v>
      </c>
      <c r="C652" t="s">
        <v>925</v>
      </c>
      <c r="D652" s="3">
        <v>42856.598611111112</v>
      </c>
      <c r="F652">
        <v>2017</v>
      </c>
      <c r="G652" t="s">
        <v>578</v>
      </c>
      <c r="H652" t="s">
        <v>352</v>
      </c>
      <c r="J652">
        <v>0</v>
      </c>
      <c r="L652">
        <v>1</v>
      </c>
      <c r="M652">
        <v>160</v>
      </c>
      <c r="N652">
        <v>35</v>
      </c>
      <c r="O652" t="s">
        <v>575</v>
      </c>
      <c r="Q652" t="s">
        <v>929</v>
      </c>
      <c r="R652" t="s">
        <v>927</v>
      </c>
      <c r="U652">
        <v>8</v>
      </c>
      <c r="V652">
        <v>8</v>
      </c>
      <c r="W652" t="s">
        <v>350</v>
      </c>
      <c r="X652" t="s">
        <v>349</v>
      </c>
      <c r="Y652" t="s">
        <v>928</v>
      </c>
      <c r="Z652">
        <v>2017</v>
      </c>
      <c r="AB652">
        <v>13</v>
      </c>
      <c r="AC652">
        <v>5.65</v>
      </c>
      <c r="AE652" t="s">
        <v>346</v>
      </c>
      <c r="AF652">
        <v>46.142674</v>
      </c>
      <c r="AG652">
        <v>-115.598088</v>
      </c>
      <c r="AH652">
        <v>14823547</v>
      </c>
    </row>
    <row r="653" spans="2:35">
      <c r="B653" t="s">
        <v>345</v>
      </c>
      <c r="C653" t="s">
        <v>925</v>
      </c>
      <c r="D653" s="3">
        <v>42856.598611111112</v>
      </c>
      <c r="F653">
        <v>2017</v>
      </c>
      <c r="G653" t="s">
        <v>578</v>
      </c>
      <c r="H653" t="s">
        <v>352</v>
      </c>
      <c r="J653">
        <v>0</v>
      </c>
      <c r="L653">
        <v>1</v>
      </c>
      <c r="M653">
        <v>175</v>
      </c>
      <c r="N653">
        <v>45</v>
      </c>
      <c r="O653" t="s">
        <v>575</v>
      </c>
      <c r="Q653" t="s">
        <v>930</v>
      </c>
      <c r="R653" t="s">
        <v>927</v>
      </c>
      <c r="U653">
        <v>8</v>
      </c>
      <c r="V653">
        <v>8</v>
      </c>
      <c r="W653" t="s">
        <v>350</v>
      </c>
      <c r="X653" t="s">
        <v>349</v>
      </c>
      <c r="Y653" t="s">
        <v>928</v>
      </c>
      <c r="Z653">
        <v>2017</v>
      </c>
      <c r="AB653">
        <v>13</v>
      </c>
      <c r="AC653">
        <v>5.65</v>
      </c>
      <c r="AE653" t="s">
        <v>346</v>
      </c>
      <c r="AF653">
        <v>46.142674</v>
      </c>
      <c r="AG653">
        <v>-115.598088</v>
      </c>
      <c r="AH653">
        <v>14823548</v>
      </c>
    </row>
    <row r="654" spans="2:35">
      <c r="B654" t="s">
        <v>345</v>
      </c>
      <c r="C654" t="s">
        <v>925</v>
      </c>
      <c r="D654" s="3">
        <v>42856.598611111112</v>
      </c>
      <c r="F654">
        <v>2017</v>
      </c>
      <c r="G654" t="s">
        <v>578</v>
      </c>
      <c r="H654" t="s">
        <v>352</v>
      </c>
      <c r="J654">
        <v>0</v>
      </c>
      <c r="L654">
        <v>1</v>
      </c>
      <c r="M654">
        <v>154</v>
      </c>
      <c r="N654">
        <v>30</v>
      </c>
      <c r="O654" t="s">
        <v>575</v>
      </c>
      <c r="Q654" t="s">
        <v>931</v>
      </c>
      <c r="R654" t="s">
        <v>927</v>
      </c>
      <c r="U654">
        <v>8</v>
      </c>
      <c r="V654">
        <v>8</v>
      </c>
      <c r="W654" t="s">
        <v>350</v>
      </c>
      <c r="X654" t="s">
        <v>349</v>
      </c>
      <c r="Y654" t="s">
        <v>928</v>
      </c>
      <c r="Z654">
        <v>2017</v>
      </c>
      <c r="AB654">
        <v>13</v>
      </c>
      <c r="AC654">
        <v>5.65</v>
      </c>
      <c r="AE654" t="s">
        <v>346</v>
      </c>
      <c r="AF654">
        <v>46.142674</v>
      </c>
      <c r="AG654">
        <v>-115.598088</v>
      </c>
      <c r="AH654">
        <v>14823549</v>
      </c>
    </row>
    <row r="655" spans="2:35">
      <c r="B655" t="s">
        <v>345</v>
      </c>
      <c r="C655" t="s">
        <v>925</v>
      </c>
      <c r="D655" s="3">
        <v>42856.598611111112</v>
      </c>
      <c r="F655">
        <v>2017</v>
      </c>
      <c r="G655" t="s">
        <v>578</v>
      </c>
      <c r="H655" t="s">
        <v>352</v>
      </c>
      <c r="J655">
        <v>0</v>
      </c>
      <c r="L655">
        <v>1</v>
      </c>
      <c r="M655">
        <v>178</v>
      </c>
      <c r="N655">
        <v>50</v>
      </c>
      <c r="O655" t="s">
        <v>575</v>
      </c>
      <c r="Q655" t="s">
        <v>932</v>
      </c>
      <c r="R655" t="s">
        <v>927</v>
      </c>
      <c r="U655">
        <v>8</v>
      </c>
      <c r="V655">
        <v>8</v>
      </c>
      <c r="W655" t="s">
        <v>350</v>
      </c>
      <c r="X655" t="s">
        <v>349</v>
      </c>
      <c r="Y655" t="s">
        <v>928</v>
      </c>
      <c r="Z655">
        <v>2017</v>
      </c>
      <c r="AB655">
        <v>13</v>
      </c>
      <c r="AC655">
        <v>5.65</v>
      </c>
      <c r="AE655" t="s">
        <v>346</v>
      </c>
      <c r="AF655">
        <v>46.142674</v>
      </c>
      <c r="AG655">
        <v>-115.598088</v>
      </c>
      <c r="AH655">
        <v>14823550</v>
      </c>
    </row>
    <row r="656" spans="2:35">
      <c r="B656" t="s">
        <v>345</v>
      </c>
      <c r="C656" t="s">
        <v>925</v>
      </c>
      <c r="D656" s="3">
        <v>42856.598611111112</v>
      </c>
      <c r="F656">
        <v>2017</v>
      </c>
      <c r="G656" t="s">
        <v>578</v>
      </c>
      <c r="H656" t="s">
        <v>352</v>
      </c>
      <c r="J656">
        <v>0</v>
      </c>
      <c r="L656">
        <v>1</v>
      </c>
      <c r="M656">
        <v>149</v>
      </c>
      <c r="N656">
        <v>32</v>
      </c>
      <c r="O656" t="s">
        <v>575</v>
      </c>
      <c r="Q656" t="s">
        <v>933</v>
      </c>
      <c r="R656" t="s">
        <v>927</v>
      </c>
      <c r="U656">
        <v>8</v>
      </c>
      <c r="V656">
        <v>8</v>
      </c>
      <c r="W656" t="s">
        <v>350</v>
      </c>
      <c r="X656" t="s">
        <v>349</v>
      </c>
      <c r="Y656" t="s">
        <v>928</v>
      </c>
      <c r="Z656">
        <v>2017</v>
      </c>
      <c r="AB656">
        <v>13</v>
      </c>
      <c r="AC656">
        <v>5.65</v>
      </c>
      <c r="AE656" t="s">
        <v>346</v>
      </c>
      <c r="AF656">
        <v>46.142674</v>
      </c>
      <c r="AG656">
        <v>-115.598088</v>
      </c>
      <c r="AH656">
        <v>14823551</v>
      </c>
    </row>
    <row r="657" spans="2:35">
      <c r="B657" t="s">
        <v>345</v>
      </c>
      <c r="C657" t="s">
        <v>925</v>
      </c>
      <c r="D657" s="3">
        <v>42856.598611111112</v>
      </c>
      <c r="F657">
        <v>2017</v>
      </c>
      <c r="G657" t="s">
        <v>578</v>
      </c>
      <c r="H657" t="s">
        <v>352</v>
      </c>
      <c r="J657">
        <v>0</v>
      </c>
      <c r="L657">
        <v>1</v>
      </c>
      <c r="M657">
        <v>158</v>
      </c>
      <c r="N657">
        <v>34</v>
      </c>
      <c r="O657" t="s">
        <v>575</v>
      </c>
      <c r="Q657" t="s">
        <v>934</v>
      </c>
      <c r="R657" t="s">
        <v>927</v>
      </c>
      <c r="U657">
        <v>8</v>
      </c>
      <c r="V657">
        <v>8</v>
      </c>
      <c r="W657" t="s">
        <v>350</v>
      </c>
      <c r="X657" t="s">
        <v>349</v>
      </c>
      <c r="Y657" t="s">
        <v>928</v>
      </c>
      <c r="Z657">
        <v>2017</v>
      </c>
      <c r="AB657">
        <v>13</v>
      </c>
      <c r="AC657">
        <v>5.65</v>
      </c>
      <c r="AE657" t="s">
        <v>346</v>
      </c>
      <c r="AF657">
        <v>46.142674</v>
      </c>
      <c r="AG657">
        <v>-115.598088</v>
      </c>
      <c r="AH657">
        <v>14823552</v>
      </c>
    </row>
    <row r="658" spans="2:35">
      <c r="B658" t="s">
        <v>345</v>
      </c>
      <c r="C658" t="s">
        <v>925</v>
      </c>
      <c r="D658" s="3">
        <v>42856.598611111112</v>
      </c>
      <c r="F658">
        <v>2017</v>
      </c>
      <c r="G658" t="s">
        <v>578</v>
      </c>
      <c r="H658" t="s">
        <v>352</v>
      </c>
      <c r="J658">
        <v>0</v>
      </c>
      <c r="L658">
        <v>1</v>
      </c>
      <c r="M658">
        <v>181</v>
      </c>
      <c r="N658">
        <v>50</v>
      </c>
      <c r="O658" t="s">
        <v>575</v>
      </c>
      <c r="Q658" t="s">
        <v>935</v>
      </c>
      <c r="R658" t="s">
        <v>927</v>
      </c>
      <c r="U658">
        <v>8</v>
      </c>
      <c r="V658">
        <v>8</v>
      </c>
      <c r="W658" t="s">
        <v>350</v>
      </c>
      <c r="X658" t="s">
        <v>349</v>
      </c>
      <c r="Y658" t="s">
        <v>928</v>
      </c>
      <c r="Z658">
        <v>2017</v>
      </c>
      <c r="AB658">
        <v>13</v>
      </c>
      <c r="AC658">
        <v>5.65</v>
      </c>
      <c r="AE658" t="s">
        <v>346</v>
      </c>
      <c r="AF658">
        <v>46.142674</v>
      </c>
      <c r="AG658">
        <v>-115.598088</v>
      </c>
      <c r="AH658">
        <v>14823553</v>
      </c>
    </row>
    <row r="659" spans="2:35">
      <c r="B659" t="s">
        <v>345</v>
      </c>
      <c r="C659" t="s">
        <v>925</v>
      </c>
      <c r="D659" s="3">
        <v>42856.598611111112</v>
      </c>
      <c r="F659">
        <v>2017</v>
      </c>
      <c r="G659" t="s">
        <v>578</v>
      </c>
      <c r="H659" t="s">
        <v>352</v>
      </c>
      <c r="J659">
        <v>0</v>
      </c>
      <c r="L659">
        <v>1</v>
      </c>
      <c r="M659">
        <v>185</v>
      </c>
      <c r="N659">
        <v>56</v>
      </c>
      <c r="O659" t="s">
        <v>575</v>
      </c>
      <c r="Q659" t="s">
        <v>936</v>
      </c>
      <c r="R659" t="s">
        <v>927</v>
      </c>
      <c r="U659">
        <v>8</v>
      </c>
      <c r="V659">
        <v>8</v>
      </c>
      <c r="W659" t="s">
        <v>350</v>
      </c>
      <c r="X659" t="s">
        <v>349</v>
      </c>
      <c r="Y659" t="s">
        <v>928</v>
      </c>
      <c r="Z659">
        <v>2017</v>
      </c>
      <c r="AB659">
        <v>13</v>
      </c>
      <c r="AC659">
        <v>5.65</v>
      </c>
      <c r="AE659" t="s">
        <v>346</v>
      </c>
      <c r="AF659">
        <v>46.142674</v>
      </c>
      <c r="AG659">
        <v>-115.598088</v>
      </c>
      <c r="AH659">
        <v>14823554</v>
      </c>
    </row>
    <row r="660" spans="2:35">
      <c r="B660" t="s">
        <v>345</v>
      </c>
      <c r="C660" t="s">
        <v>925</v>
      </c>
      <c r="D660" s="3">
        <v>42856.598611111112</v>
      </c>
      <c r="F660">
        <v>2017</v>
      </c>
      <c r="G660" t="s">
        <v>578</v>
      </c>
      <c r="H660" t="s">
        <v>352</v>
      </c>
      <c r="J660">
        <v>0</v>
      </c>
      <c r="L660">
        <v>1</v>
      </c>
      <c r="M660">
        <v>171</v>
      </c>
      <c r="N660">
        <v>42</v>
      </c>
      <c r="O660" t="s">
        <v>575</v>
      </c>
      <c r="Q660" t="s">
        <v>937</v>
      </c>
      <c r="R660" t="s">
        <v>927</v>
      </c>
      <c r="U660">
        <v>8</v>
      </c>
      <c r="V660">
        <v>8</v>
      </c>
      <c r="W660" t="s">
        <v>350</v>
      </c>
      <c r="X660" t="s">
        <v>349</v>
      </c>
      <c r="Y660" t="s">
        <v>928</v>
      </c>
      <c r="Z660">
        <v>2017</v>
      </c>
      <c r="AB660">
        <v>13</v>
      </c>
      <c r="AC660">
        <v>5.65</v>
      </c>
      <c r="AE660" t="s">
        <v>346</v>
      </c>
      <c r="AF660">
        <v>46.142674</v>
      </c>
      <c r="AG660">
        <v>-115.598088</v>
      </c>
      <c r="AH660">
        <v>14823555</v>
      </c>
    </row>
    <row r="661" spans="2:35">
      <c r="B661" t="s">
        <v>345</v>
      </c>
      <c r="C661" t="s">
        <v>925</v>
      </c>
      <c r="D661" s="3">
        <v>42856.598611111112</v>
      </c>
      <c r="F661">
        <v>2017</v>
      </c>
      <c r="G661" t="s">
        <v>578</v>
      </c>
      <c r="H661" t="s">
        <v>352</v>
      </c>
      <c r="J661">
        <v>0</v>
      </c>
      <c r="L661">
        <v>1</v>
      </c>
      <c r="M661">
        <v>153</v>
      </c>
      <c r="N661">
        <v>33</v>
      </c>
      <c r="O661" t="s">
        <v>575</v>
      </c>
      <c r="Q661" t="s">
        <v>938</v>
      </c>
      <c r="R661" t="s">
        <v>927</v>
      </c>
      <c r="U661">
        <v>8</v>
      </c>
      <c r="V661">
        <v>8</v>
      </c>
      <c r="W661" t="s">
        <v>350</v>
      </c>
      <c r="X661" t="s">
        <v>349</v>
      </c>
      <c r="Y661" t="s">
        <v>928</v>
      </c>
      <c r="Z661">
        <v>2017</v>
      </c>
      <c r="AB661">
        <v>13</v>
      </c>
      <c r="AC661">
        <v>5.65</v>
      </c>
      <c r="AE661" t="s">
        <v>346</v>
      </c>
      <c r="AF661">
        <v>46.142674</v>
      </c>
      <c r="AG661">
        <v>-115.598088</v>
      </c>
      <c r="AH661">
        <v>14823556</v>
      </c>
    </row>
    <row r="662" spans="2:35">
      <c r="B662" t="s">
        <v>345</v>
      </c>
      <c r="C662" t="s">
        <v>902</v>
      </c>
      <c r="D662" s="3">
        <v>42855.277083333334</v>
      </c>
      <c r="F662">
        <v>2017</v>
      </c>
      <c r="G662" t="s">
        <v>578</v>
      </c>
      <c r="H662" t="s">
        <v>352</v>
      </c>
      <c r="J662">
        <v>0</v>
      </c>
      <c r="L662">
        <v>1</v>
      </c>
      <c r="M662">
        <v>156</v>
      </c>
      <c r="N662">
        <v>31</v>
      </c>
      <c r="O662" t="s">
        <v>773</v>
      </c>
      <c r="R662" t="s">
        <v>608</v>
      </c>
      <c r="U662">
        <v>6.5</v>
      </c>
      <c r="V662">
        <v>6.5</v>
      </c>
      <c r="W662" t="s">
        <v>350</v>
      </c>
      <c r="X662" t="s">
        <v>349</v>
      </c>
      <c r="Y662" t="s">
        <v>348</v>
      </c>
      <c r="Z662">
        <v>2017</v>
      </c>
      <c r="AB662">
        <v>12</v>
      </c>
      <c r="AC662">
        <v>5.57</v>
      </c>
      <c r="AE662" t="s">
        <v>346</v>
      </c>
      <c r="AF662">
        <v>46.142674</v>
      </c>
      <c r="AG662">
        <v>-115.598088</v>
      </c>
      <c r="AH662">
        <v>14796301</v>
      </c>
    </row>
    <row r="663" spans="2:35">
      <c r="B663" t="s">
        <v>345</v>
      </c>
      <c r="C663" t="s">
        <v>939</v>
      </c>
      <c r="D663" s="3">
        <v>42853.300694444442</v>
      </c>
      <c r="F663">
        <v>2017</v>
      </c>
      <c r="G663" t="s">
        <v>578</v>
      </c>
      <c r="H663" t="s">
        <v>352</v>
      </c>
      <c r="J663">
        <v>0</v>
      </c>
      <c r="L663">
        <v>1</v>
      </c>
      <c r="M663">
        <v>169</v>
      </c>
      <c r="N663">
        <v>43</v>
      </c>
      <c r="O663" t="s">
        <v>575</v>
      </c>
      <c r="Q663" t="s">
        <v>940</v>
      </c>
      <c r="R663" t="s">
        <v>608</v>
      </c>
      <c r="U663">
        <v>5</v>
      </c>
      <c r="V663">
        <v>5</v>
      </c>
      <c r="W663" t="s">
        <v>350</v>
      </c>
      <c r="X663" t="s">
        <v>349</v>
      </c>
      <c r="Y663" t="s">
        <v>348</v>
      </c>
      <c r="Z663">
        <v>2017</v>
      </c>
      <c r="AB663">
        <v>12</v>
      </c>
      <c r="AC663">
        <v>5.83</v>
      </c>
      <c r="AE663" t="s">
        <v>346</v>
      </c>
      <c r="AF663">
        <v>46.142674</v>
      </c>
      <c r="AG663">
        <v>-115.598088</v>
      </c>
      <c r="AH663">
        <v>14801118</v>
      </c>
      <c r="AI663">
        <f>17-68334</f>
        <v>-68317</v>
      </c>
    </row>
    <row r="664" spans="2:35">
      <c r="B664" t="s">
        <v>345</v>
      </c>
      <c r="C664" t="s">
        <v>939</v>
      </c>
      <c r="D664" s="3">
        <v>42853.300694444442</v>
      </c>
      <c r="F664">
        <v>2017</v>
      </c>
      <c r="G664" t="s">
        <v>578</v>
      </c>
      <c r="H664" t="s">
        <v>352</v>
      </c>
      <c r="J664">
        <v>0</v>
      </c>
      <c r="L664">
        <v>1</v>
      </c>
      <c r="M664">
        <v>172</v>
      </c>
      <c r="N664">
        <v>42</v>
      </c>
      <c r="O664" t="s">
        <v>575</v>
      </c>
      <c r="Q664" t="s">
        <v>941</v>
      </c>
      <c r="R664" t="s">
        <v>608</v>
      </c>
      <c r="U664">
        <v>5</v>
      </c>
      <c r="V664">
        <v>5</v>
      </c>
      <c r="W664" t="s">
        <v>350</v>
      </c>
      <c r="X664" t="s">
        <v>349</v>
      </c>
      <c r="Y664" t="s">
        <v>348</v>
      </c>
      <c r="Z664">
        <v>2017</v>
      </c>
      <c r="AB664">
        <v>12</v>
      </c>
      <c r="AC664">
        <v>5.83</v>
      </c>
      <c r="AE664" t="s">
        <v>346</v>
      </c>
      <c r="AF664">
        <v>46.142674</v>
      </c>
      <c r="AG664">
        <v>-115.598088</v>
      </c>
      <c r="AH664">
        <v>14801119</v>
      </c>
      <c r="AI664">
        <f>17-68331</f>
        <v>-68314</v>
      </c>
    </row>
    <row r="665" spans="2:35">
      <c r="B665" t="s">
        <v>345</v>
      </c>
      <c r="C665" t="s">
        <v>939</v>
      </c>
      <c r="D665" s="3">
        <v>42853.300694444442</v>
      </c>
      <c r="F665">
        <v>2017</v>
      </c>
      <c r="G665" t="s">
        <v>578</v>
      </c>
      <c r="H665" t="s">
        <v>352</v>
      </c>
      <c r="J665">
        <v>0</v>
      </c>
      <c r="L665">
        <v>1</v>
      </c>
      <c r="M665">
        <v>173</v>
      </c>
      <c r="N665">
        <v>47</v>
      </c>
      <c r="O665" t="s">
        <v>575</v>
      </c>
      <c r="Q665" t="s">
        <v>942</v>
      </c>
      <c r="R665" t="s">
        <v>608</v>
      </c>
      <c r="U665">
        <v>5</v>
      </c>
      <c r="V665">
        <v>5</v>
      </c>
      <c r="W665" t="s">
        <v>350</v>
      </c>
      <c r="X665" t="s">
        <v>349</v>
      </c>
      <c r="Y665" t="s">
        <v>348</v>
      </c>
      <c r="Z665">
        <v>2017</v>
      </c>
      <c r="AB665">
        <v>12</v>
      </c>
      <c r="AC665">
        <v>5.83</v>
      </c>
      <c r="AE665" t="s">
        <v>346</v>
      </c>
      <c r="AF665">
        <v>46.142674</v>
      </c>
      <c r="AG665">
        <v>-115.598088</v>
      </c>
      <c r="AH665">
        <v>14801120</v>
      </c>
      <c r="AI665">
        <f>17-68337</f>
        <v>-68320</v>
      </c>
    </row>
    <row r="666" spans="2:35">
      <c r="B666" t="s">
        <v>345</v>
      </c>
      <c r="C666" t="s">
        <v>939</v>
      </c>
      <c r="D666" s="3">
        <v>42853.300694444442</v>
      </c>
      <c r="F666">
        <v>2017</v>
      </c>
      <c r="G666" t="s">
        <v>578</v>
      </c>
      <c r="H666" t="s">
        <v>352</v>
      </c>
      <c r="J666">
        <v>0</v>
      </c>
      <c r="L666">
        <v>1</v>
      </c>
      <c r="M666">
        <v>196</v>
      </c>
      <c r="N666">
        <v>62</v>
      </c>
      <c r="O666" t="s">
        <v>575</v>
      </c>
      <c r="Q666" t="s">
        <v>943</v>
      </c>
      <c r="R666" t="s">
        <v>608</v>
      </c>
      <c r="U666">
        <v>5</v>
      </c>
      <c r="V666">
        <v>5</v>
      </c>
      <c r="W666" t="s">
        <v>350</v>
      </c>
      <c r="X666" t="s">
        <v>349</v>
      </c>
      <c r="Y666" t="s">
        <v>348</v>
      </c>
      <c r="Z666">
        <v>2017</v>
      </c>
      <c r="AB666">
        <v>12</v>
      </c>
      <c r="AC666">
        <v>5.83</v>
      </c>
      <c r="AE666" t="s">
        <v>346</v>
      </c>
      <c r="AF666">
        <v>46.142674</v>
      </c>
      <c r="AG666">
        <v>-115.598088</v>
      </c>
      <c r="AH666">
        <v>14801121</v>
      </c>
      <c r="AI666">
        <f>17-68332</f>
        <v>-68315</v>
      </c>
    </row>
    <row r="667" spans="2:35">
      <c r="B667" t="s">
        <v>345</v>
      </c>
      <c r="C667" t="s">
        <v>939</v>
      </c>
      <c r="D667" s="3">
        <v>42853.300694444442</v>
      </c>
      <c r="F667">
        <v>2017</v>
      </c>
      <c r="G667" t="s">
        <v>574</v>
      </c>
      <c r="H667" t="s">
        <v>352</v>
      </c>
      <c r="J667">
        <v>0</v>
      </c>
      <c r="L667">
        <v>1</v>
      </c>
      <c r="M667">
        <v>72</v>
      </c>
      <c r="N667">
        <v>4</v>
      </c>
      <c r="O667" t="s">
        <v>575</v>
      </c>
      <c r="Q667" t="s">
        <v>576</v>
      </c>
      <c r="R667" t="s">
        <v>608</v>
      </c>
      <c r="U667">
        <v>5</v>
      </c>
      <c r="V667">
        <v>5</v>
      </c>
      <c r="W667" t="s">
        <v>350</v>
      </c>
      <c r="X667" t="s">
        <v>349</v>
      </c>
      <c r="Y667" t="s">
        <v>348</v>
      </c>
      <c r="Z667">
        <v>2017</v>
      </c>
      <c r="AB667">
        <v>12</v>
      </c>
      <c r="AC667">
        <v>5.83</v>
      </c>
      <c r="AE667" t="s">
        <v>346</v>
      </c>
      <c r="AF667">
        <v>46.142674</v>
      </c>
      <c r="AG667">
        <v>-115.598088</v>
      </c>
      <c r="AH667">
        <v>14801122</v>
      </c>
    </row>
    <row r="668" spans="2:35">
      <c r="B668" t="s">
        <v>345</v>
      </c>
      <c r="C668" t="s">
        <v>939</v>
      </c>
      <c r="D668" s="3">
        <v>42853.300694444442</v>
      </c>
      <c r="F668">
        <v>2017</v>
      </c>
      <c r="G668" t="s">
        <v>578</v>
      </c>
      <c r="H668" t="s">
        <v>352</v>
      </c>
      <c r="J668">
        <v>0</v>
      </c>
      <c r="L668">
        <v>1</v>
      </c>
      <c r="M668">
        <v>152</v>
      </c>
      <c r="N668">
        <v>34</v>
      </c>
      <c r="O668" t="s">
        <v>575</v>
      </c>
      <c r="Q668" t="s">
        <v>944</v>
      </c>
      <c r="R668" t="s">
        <v>608</v>
      </c>
      <c r="U668">
        <v>5</v>
      </c>
      <c r="V668">
        <v>5</v>
      </c>
      <c r="W668" t="s">
        <v>350</v>
      </c>
      <c r="X668" t="s">
        <v>349</v>
      </c>
      <c r="Y668" t="s">
        <v>348</v>
      </c>
      <c r="Z668">
        <v>2017</v>
      </c>
      <c r="AB668">
        <v>12</v>
      </c>
      <c r="AC668">
        <v>5.83</v>
      </c>
      <c r="AE668" t="s">
        <v>346</v>
      </c>
      <c r="AF668">
        <v>46.142674</v>
      </c>
      <c r="AG668">
        <v>-115.598088</v>
      </c>
      <c r="AH668">
        <v>14801123</v>
      </c>
      <c r="AI668">
        <f>17-68333</f>
        <v>-68316</v>
      </c>
    </row>
    <row r="669" spans="2:35">
      <c r="B669" t="s">
        <v>345</v>
      </c>
      <c r="C669" t="s">
        <v>939</v>
      </c>
      <c r="D669" s="3">
        <v>42853.300694444442</v>
      </c>
      <c r="F669">
        <v>2017</v>
      </c>
      <c r="G669" t="s">
        <v>578</v>
      </c>
      <c r="H669" t="s">
        <v>352</v>
      </c>
      <c r="J669">
        <v>0</v>
      </c>
      <c r="L669">
        <v>1</v>
      </c>
      <c r="M669">
        <v>191</v>
      </c>
      <c r="N669">
        <v>51</v>
      </c>
      <c r="O669" t="s">
        <v>702</v>
      </c>
      <c r="P669" t="s">
        <v>635</v>
      </c>
      <c r="Q669" t="s">
        <v>703</v>
      </c>
      <c r="R669" t="s">
        <v>608</v>
      </c>
      <c r="U669">
        <v>5</v>
      </c>
      <c r="V669">
        <v>5</v>
      </c>
      <c r="W669" t="s">
        <v>350</v>
      </c>
      <c r="X669" t="s">
        <v>349</v>
      </c>
      <c r="Y669" t="s">
        <v>348</v>
      </c>
      <c r="Z669">
        <v>2017</v>
      </c>
      <c r="AB669">
        <v>12</v>
      </c>
      <c r="AC669">
        <v>5.83</v>
      </c>
      <c r="AE669" t="s">
        <v>346</v>
      </c>
      <c r="AF669">
        <v>46.142674</v>
      </c>
      <c r="AG669">
        <v>-115.598088</v>
      </c>
      <c r="AH669">
        <v>14801124</v>
      </c>
    </row>
    <row r="670" spans="2:35">
      <c r="B670" t="s">
        <v>345</v>
      </c>
      <c r="C670" t="s">
        <v>939</v>
      </c>
      <c r="D670" s="3">
        <v>42853.300694444442</v>
      </c>
      <c r="F670">
        <v>2017</v>
      </c>
      <c r="G670" t="s">
        <v>578</v>
      </c>
      <c r="H670" t="s">
        <v>352</v>
      </c>
      <c r="J670">
        <v>0</v>
      </c>
      <c r="L670">
        <v>1</v>
      </c>
      <c r="M670">
        <v>160</v>
      </c>
      <c r="N670">
        <v>39</v>
      </c>
      <c r="O670" t="s">
        <v>575</v>
      </c>
      <c r="Q670" t="s">
        <v>945</v>
      </c>
      <c r="R670" t="s">
        <v>608</v>
      </c>
      <c r="U670">
        <v>5</v>
      </c>
      <c r="V670">
        <v>5</v>
      </c>
      <c r="W670" t="s">
        <v>350</v>
      </c>
      <c r="X670" t="s">
        <v>349</v>
      </c>
      <c r="Y670" t="s">
        <v>348</v>
      </c>
      <c r="Z670">
        <v>2017</v>
      </c>
      <c r="AB670">
        <v>12</v>
      </c>
      <c r="AC670">
        <v>5.83</v>
      </c>
      <c r="AE670" t="s">
        <v>346</v>
      </c>
      <c r="AF670">
        <v>46.142674</v>
      </c>
      <c r="AG670">
        <v>-115.598088</v>
      </c>
      <c r="AH670">
        <v>14801125</v>
      </c>
      <c r="AI670">
        <f>17-68338</f>
        <v>-68321</v>
      </c>
    </row>
    <row r="671" spans="2:35">
      <c r="B671" t="s">
        <v>345</v>
      </c>
      <c r="C671" t="s">
        <v>939</v>
      </c>
      <c r="D671" s="3">
        <v>42853.300694444442</v>
      </c>
      <c r="F671">
        <v>2017</v>
      </c>
      <c r="G671" t="s">
        <v>578</v>
      </c>
      <c r="H671" t="s">
        <v>352</v>
      </c>
      <c r="J671">
        <v>0</v>
      </c>
      <c r="L671">
        <v>1</v>
      </c>
      <c r="M671">
        <v>164</v>
      </c>
      <c r="N671">
        <v>39</v>
      </c>
      <c r="O671" t="s">
        <v>634</v>
      </c>
      <c r="P671" t="s">
        <v>635</v>
      </c>
      <c r="Q671" t="s">
        <v>635</v>
      </c>
      <c r="R671" t="s">
        <v>608</v>
      </c>
      <c r="U671">
        <v>5</v>
      </c>
      <c r="V671">
        <v>5</v>
      </c>
      <c r="W671" t="s">
        <v>350</v>
      </c>
      <c r="X671" t="s">
        <v>349</v>
      </c>
      <c r="Y671" t="s">
        <v>348</v>
      </c>
      <c r="Z671">
        <v>2017</v>
      </c>
      <c r="AB671">
        <v>12</v>
      </c>
      <c r="AC671">
        <v>5.83</v>
      </c>
      <c r="AE671" t="s">
        <v>346</v>
      </c>
      <c r="AF671">
        <v>46.142674</v>
      </c>
      <c r="AG671">
        <v>-115.598088</v>
      </c>
      <c r="AH671">
        <v>14801126</v>
      </c>
    </row>
    <row r="672" spans="2:35">
      <c r="B672" t="s">
        <v>345</v>
      </c>
      <c r="C672" t="s">
        <v>939</v>
      </c>
      <c r="D672" s="3">
        <v>42853.300694444442</v>
      </c>
      <c r="F672">
        <v>2017</v>
      </c>
      <c r="G672" t="s">
        <v>578</v>
      </c>
      <c r="H672" t="s">
        <v>352</v>
      </c>
      <c r="J672">
        <v>0</v>
      </c>
      <c r="L672">
        <v>1</v>
      </c>
      <c r="M672">
        <v>173</v>
      </c>
      <c r="N672">
        <v>47</v>
      </c>
      <c r="O672" t="s">
        <v>575</v>
      </c>
      <c r="Q672" t="s">
        <v>946</v>
      </c>
      <c r="R672" t="s">
        <v>608</v>
      </c>
      <c r="U672">
        <v>5</v>
      </c>
      <c r="V672">
        <v>5</v>
      </c>
      <c r="W672" t="s">
        <v>350</v>
      </c>
      <c r="X672" t="s">
        <v>349</v>
      </c>
      <c r="Y672" t="s">
        <v>348</v>
      </c>
      <c r="Z672">
        <v>2017</v>
      </c>
      <c r="AB672">
        <v>12</v>
      </c>
      <c r="AC672">
        <v>5.83</v>
      </c>
      <c r="AE672" t="s">
        <v>346</v>
      </c>
      <c r="AF672">
        <v>46.142674</v>
      </c>
      <c r="AG672">
        <v>-115.598088</v>
      </c>
      <c r="AH672">
        <v>14801127</v>
      </c>
      <c r="AI672">
        <f>17-68336</f>
        <v>-68319</v>
      </c>
    </row>
    <row r="673" spans="2:35">
      <c r="B673" t="s">
        <v>345</v>
      </c>
      <c r="C673" t="s">
        <v>939</v>
      </c>
      <c r="D673" s="3">
        <v>42853.300694444442</v>
      </c>
      <c r="F673">
        <v>2017</v>
      </c>
      <c r="G673" t="s">
        <v>578</v>
      </c>
      <c r="H673" t="s">
        <v>352</v>
      </c>
      <c r="J673">
        <v>0</v>
      </c>
      <c r="L673">
        <v>1</v>
      </c>
      <c r="M673">
        <v>180</v>
      </c>
      <c r="N673">
        <v>52</v>
      </c>
      <c r="O673" t="s">
        <v>575</v>
      </c>
      <c r="Q673" t="s">
        <v>947</v>
      </c>
      <c r="R673" t="s">
        <v>608</v>
      </c>
      <c r="U673">
        <v>5</v>
      </c>
      <c r="V673">
        <v>5</v>
      </c>
      <c r="W673" t="s">
        <v>350</v>
      </c>
      <c r="X673" t="s">
        <v>349</v>
      </c>
      <c r="Y673" t="s">
        <v>348</v>
      </c>
      <c r="Z673">
        <v>2017</v>
      </c>
      <c r="AB673">
        <v>12</v>
      </c>
      <c r="AC673">
        <v>5.83</v>
      </c>
      <c r="AE673" t="s">
        <v>346</v>
      </c>
      <c r="AF673">
        <v>46.142674</v>
      </c>
      <c r="AG673">
        <v>-115.598088</v>
      </c>
      <c r="AH673">
        <v>14801128</v>
      </c>
      <c r="AI673">
        <f>17-68335</f>
        <v>-68318</v>
      </c>
    </row>
    <row r="674" spans="2:35">
      <c r="B674" t="s">
        <v>345</v>
      </c>
      <c r="C674" t="s">
        <v>948</v>
      </c>
      <c r="D674" s="3">
        <v>43027.574999999997</v>
      </c>
      <c r="F674">
        <v>2017</v>
      </c>
      <c r="G674" t="s">
        <v>615</v>
      </c>
      <c r="H674" t="s">
        <v>352</v>
      </c>
      <c r="J674">
        <v>0</v>
      </c>
      <c r="L674">
        <v>1</v>
      </c>
      <c r="M674">
        <v>318</v>
      </c>
      <c r="N674">
        <v>0</v>
      </c>
      <c r="O674" t="s">
        <v>353</v>
      </c>
      <c r="R674" t="s">
        <v>603</v>
      </c>
      <c r="U674">
        <v>7.5</v>
      </c>
      <c r="V674">
        <v>7.5</v>
      </c>
      <c r="W674" t="s">
        <v>350</v>
      </c>
      <c r="X674" t="s">
        <v>349</v>
      </c>
      <c r="Y674" t="s">
        <v>348</v>
      </c>
      <c r="Z674">
        <v>2017</v>
      </c>
      <c r="AB674">
        <v>4</v>
      </c>
      <c r="AC674">
        <v>2.0099999999999998</v>
      </c>
      <c r="AE674" t="s">
        <v>346</v>
      </c>
      <c r="AF674">
        <v>46.142674</v>
      </c>
      <c r="AG674">
        <v>-115.598088</v>
      </c>
      <c r="AH674">
        <v>14843886</v>
      </c>
    </row>
    <row r="675" spans="2:35">
      <c r="B675" t="s">
        <v>345</v>
      </c>
      <c r="C675" t="s">
        <v>948</v>
      </c>
      <c r="D675" s="3">
        <v>43027.574999999997</v>
      </c>
      <c r="F675">
        <v>2017</v>
      </c>
      <c r="G675" t="s">
        <v>602</v>
      </c>
      <c r="H675" t="s">
        <v>352</v>
      </c>
      <c r="J675">
        <v>0</v>
      </c>
      <c r="L675">
        <v>1</v>
      </c>
      <c r="M675">
        <v>216</v>
      </c>
      <c r="N675">
        <v>137</v>
      </c>
      <c r="O675" t="s">
        <v>353</v>
      </c>
      <c r="R675" t="s">
        <v>603</v>
      </c>
      <c r="U675">
        <v>7.5</v>
      </c>
      <c r="V675">
        <v>7.5</v>
      </c>
      <c r="W675" t="s">
        <v>350</v>
      </c>
      <c r="X675" t="s">
        <v>349</v>
      </c>
      <c r="Y675" t="s">
        <v>348</v>
      </c>
      <c r="Z675">
        <v>2017</v>
      </c>
      <c r="AB675">
        <v>4</v>
      </c>
      <c r="AC675">
        <v>2.0099999999999998</v>
      </c>
      <c r="AE675" t="s">
        <v>346</v>
      </c>
      <c r="AF675">
        <v>46.142674</v>
      </c>
      <c r="AG675">
        <v>-115.598088</v>
      </c>
      <c r="AH675">
        <v>14843887</v>
      </c>
    </row>
    <row r="676" spans="2:35">
      <c r="B676" t="s">
        <v>345</v>
      </c>
      <c r="C676" t="s">
        <v>948</v>
      </c>
      <c r="D676" s="3">
        <v>43027.574999999997</v>
      </c>
      <c r="F676">
        <v>2017</v>
      </c>
      <c r="G676" t="s">
        <v>636</v>
      </c>
      <c r="H676" t="s">
        <v>352</v>
      </c>
      <c r="J676">
        <v>0</v>
      </c>
      <c r="L676">
        <v>1</v>
      </c>
      <c r="M676">
        <v>67</v>
      </c>
      <c r="N676">
        <v>3</v>
      </c>
      <c r="O676" t="s">
        <v>353</v>
      </c>
      <c r="R676" t="s">
        <v>603</v>
      </c>
      <c r="U676">
        <v>7.5</v>
      </c>
      <c r="V676">
        <v>7.5</v>
      </c>
      <c r="W676" t="s">
        <v>350</v>
      </c>
      <c r="X676" t="s">
        <v>349</v>
      </c>
      <c r="Y676" t="s">
        <v>348</v>
      </c>
      <c r="Z676">
        <v>2017</v>
      </c>
      <c r="AB676">
        <v>4</v>
      </c>
      <c r="AC676">
        <v>2.0099999999999998</v>
      </c>
      <c r="AE676" t="s">
        <v>346</v>
      </c>
      <c r="AF676">
        <v>46.142674</v>
      </c>
      <c r="AG676">
        <v>-115.598088</v>
      </c>
      <c r="AH676">
        <v>14843888</v>
      </c>
    </row>
    <row r="677" spans="2:35">
      <c r="B677" t="s">
        <v>345</v>
      </c>
      <c r="C677" t="s">
        <v>949</v>
      </c>
      <c r="D677" s="3">
        <v>42909.299305555556</v>
      </c>
      <c r="F677">
        <v>2017</v>
      </c>
      <c r="G677" t="s">
        <v>605</v>
      </c>
      <c r="H677" t="s">
        <v>352</v>
      </c>
      <c r="J677">
        <v>0</v>
      </c>
      <c r="L677">
        <v>1</v>
      </c>
      <c r="M677">
        <v>72</v>
      </c>
      <c r="N677">
        <v>5</v>
      </c>
      <c r="O677" t="s">
        <v>353</v>
      </c>
      <c r="R677" t="s">
        <v>608</v>
      </c>
      <c r="U677">
        <v>11.5</v>
      </c>
      <c r="V677">
        <v>11</v>
      </c>
      <c r="W677" t="s">
        <v>350</v>
      </c>
      <c r="X677" t="s">
        <v>349</v>
      </c>
      <c r="Y677" t="s">
        <v>348</v>
      </c>
      <c r="Z677">
        <v>2017</v>
      </c>
      <c r="AB677">
        <v>11</v>
      </c>
      <c r="AC677">
        <v>4.95</v>
      </c>
      <c r="AE677" t="s">
        <v>346</v>
      </c>
      <c r="AF677">
        <v>46.142674</v>
      </c>
      <c r="AG677">
        <v>-115.598088</v>
      </c>
      <c r="AH677">
        <v>14852703</v>
      </c>
    </row>
    <row r="678" spans="2:35">
      <c r="B678" t="s">
        <v>345</v>
      </c>
      <c r="C678" t="s">
        <v>949</v>
      </c>
      <c r="D678" s="3">
        <v>42909.299305555556</v>
      </c>
      <c r="F678">
        <v>2017</v>
      </c>
      <c r="G678" t="s">
        <v>605</v>
      </c>
      <c r="H678" t="s">
        <v>352</v>
      </c>
      <c r="J678">
        <v>0</v>
      </c>
      <c r="L678">
        <v>1</v>
      </c>
      <c r="M678">
        <v>78</v>
      </c>
      <c r="N678">
        <v>6</v>
      </c>
      <c r="O678" t="s">
        <v>353</v>
      </c>
      <c r="R678" t="s">
        <v>608</v>
      </c>
      <c r="U678">
        <v>11.5</v>
      </c>
      <c r="V678">
        <v>11</v>
      </c>
      <c r="W678" t="s">
        <v>350</v>
      </c>
      <c r="X678" t="s">
        <v>349</v>
      </c>
      <c r="Y678" t="s">
        <v>348</v>
      </c>
      <c r="Z678">
        <v>2017</v>
      </c>
      <c r="AB678">
        <v>11</v>
      </c>
      <c r="AC678">
        <v>4.95</v>
      </c>
      <c r="AE678" t="s">
        <v>346</v>
      </c>
      <c r="AF678">
        <v>46.142674</v>
      </c>
      <c r="AG678">
        <v>-115.598088</v>
      </c>
      <c r="AH678">
        <v>14852704</v>
      </c>
    </row>
    <row r="679" spans="2:35">
      <c r="B679" t="s">
        <v>345</v>
      </c>
      <c r="C679" t="s">
        <v>925</v>
      </c>
      <c r="D679" s="3">
        <v>42856.598611111112</v>
      </c>
      <c r="F679">
        <v>2017</v>
      </c>
      <c r="G679" t="s">
        <v>578</v>
      </c>
      <c r="H679" t="s">
        <v>352</v>
      </c>
      <c r="J679">
        <v>0</v>
      </c>
      <c r="L679">
        <v>1</v>
      </c>
      <c r="M679">
        <v>188</v>
      </c>
      <c r="N679">
        <v>56</v>
      </c>
      <c r="O679" t="s">
        <v>575</v>
      </c>
      <c r="Q679" t="s">
        <v>950</v>
      </c>
      <c r="R679" t="s">
        <v>927</v>
      </c>
      <c r="U679">
        <v>8</v>
      </c>
      <c r="V679">
        <v>8</v>
      </c>
      <c r="W679" t="s">
        <v>350</v>
      </c>
      <c r="X679" t="s">
        <v>349</v>
      </c>
      <c r="Y679" t="s">
        <v>928</v>
      </c>
      <c r="Z679">
        <v>2017</v>
      </c>
      <c r="AB679">
        <v>13</v>
      </c>
      <c r="AC679">
        <v>5.65</v>
      </c>
      <c r="AE679" t="s">
        <v>346</v>
      </c>
      <c r="AF679">
        <v>46.142674</v>
      </c>
      <c r="AG679">
        <v>-115.598088</v>
      </c>
      <c r="AH679">
        <v>14823557</v>
      </c>
    </row>
    <row r="680" spans="2:35">
      <c r="B680" t="s">
        <v>345</v>
      </c>
      <c r="C680" t="s">
        <v>925</v>
      </c>
      <c r="D680" s="3">
        <v>42856.598611111112</v>
      </c>
      <c r="F680">
        <v>2017</v>
      </c>
      <c r="G680" t="s">
        <v>578</v>
      </c>
      <c r="H680" t="s">
        <v>352</v>
      </c>
      <c r="J680">
        <v>0</v>
      </c>
      <c r="L680">
        <v>1</v>
      </c>
      <c r="M680">
        <v>195</v>
      </c>
      <c r="N680">
        <v>61</v>
      </c>
      <c r="O680" t="s">
        <v>575</v>
      </c>
      <c r="Q680" t="s">
        <v>951</v>
      </c>
      <c r="R680" t="s">
        <v>927</v>
      </c>
      <c r="U680">
        <v>8</v>
      </c>
      <c r="V680">
        <v>8</v>
      </c>
      <c r="W680" t="s">
        <v>350</v>
      </c>
      <c r="X680" t="s">
        <v>349</v>
      </c>
      <c r="Y680" t="s">
        <v>928</v>
      </c>
      <c r="Z680">
        <v>2017</v>
      </c>
      <c r="AB680">
        <v>13</v>
      </c>
      <c r="AC680">
        <v>5.65</v>
      </c>
      <c r="AE680" t="s">
        <v>346</v>
      </c>
      <c r="AF680">
        <v>46.142674</v>
      </c>
      <c r="AG680">
        <v>-115.598088</v>
      </c>
      <c r="AH680">
        <v>14823558</v>
      </c>
    </row>
    <row r="681" spans="2:35">
      <c r="B681" t="s">
        <v>345</v>
      </c>
      <c r="C681" t="s">
        <v>925</v>
      </c>
      <c r="D681" s="3">
        <v>42856.598611111112</v>
      </c>
      <c r="F681">
        <v>2017</v>
      </c>
      <c r="G681" t="s">
        <v>578</v>
      </c>
      <c r="H681" t="s">
        <v>352</v>
      </c>
      <c r="J681">
        <v>0</v>
      </c>
      <c r="L681">
        <v>1</v>
      </c>
      <c r="M681">
        <v>171</v>
      </c>
      <c r="N681">
        <v>44</v>
      </c>
      <c r="O681" t="s">
        <v>575</v>
      </c>
      <c r="Q681" t="s">
        <v>952</v>
      </c>
      <c r="R681" t="s">
        <v>927</v>
      </c>
      <c r="U681">
        <v>8</v>
      </c>
      <c r="V681">
        <v>8</v>
      </c>
      <c r="W681" t="s">
        <v>350</v>
      </c>
      <c r="X681" t="s">
        <v>349</v>
      </c>
      <c r="Y681" t="s">
        <v>928</v>
      </c>
      <c r="Z681">
        <v>2017</v>
      </c>
      <c r="AB681">
        <v>13</v>
      </c>
      <c r="AC681">
        <v>5.65</v>
      </c>
      <c r="AE681" t="s">
        <v>346</v>
      </c>
      <c r="AF681">
        <v>46.142674</v>
      </c>
      <c r="AG681">
        <v>-115.598088</v>
      </c>
      <c r="AH681">
        <v>14823559</v>
      </c>
    </row>
    <row r="682" spans="2:35">
      <c r="B682" t="s">
        <v>345</v>
      </c>
      <c r="C682" t="s">
        <v>925</v>
      </c>
      <c r="D682" s="3">
        <v>42856.598611111112</v>
      </c>
      <c r="F682">
        <v>2017</v>
      </c>
      <c r="G682" t="s">
        <v>578</v>
      </c>
      <c r="H682" t="s">
        <v>352</v>
      </c>
      <c r="J682">
        <v>0</v>
      </c>
      <c r="L682">
        <v>1</v>
      </c>
      <c r="M682">
        <v>177</v>
      </c>
      <c r="N682">
        <v>44</v>
      </c>
      <c r="O682" t="s">
        <v>575</v>
      </c>
      <c r="Q682" t="s">
        <v>953</v>
      </c>
      <c r="R682" t="s">
        <v>927</v>
      </c>
      <c r="U682">
        <v>8</v>
      </c>
      <c r="V682">
        <v>8</v>
      </c>
      <c r="W682" t="s">
        <v>350</v>
      </c>
      <c r="X682" t="s">
        <v>349</v>
      </c>
      <c r="Y682" t="s">
        <v>928</v>
      </c>
      <c r="Z682">
        <v>2017</v>
      </c>
      <c r="AB682">
        <v>13</v>
      </c>
      <c r="AC682">
        <v>5.65</v>
      </c>
      <c r="AE682" t="s">
        <v>346</v>
      </c>
      <c r="AF682">
        <v>46.142674</v>
      </c>
      <c r="AG682">
        <v>-115.598088</v>
      </c>
      <c r="AH682">
        <v>14823560</v>
      </c>
    </row>
    <row r="683" spans="2:35">
      <c r="B683" t="s">
        <v>345</v>
      </c>
      <c r="C683" t="s">
        <v>925</v>
      </c>
      <c r="D683" s="3">
        <v>42856.598611111112</v>
      </c>
      <c r="F683">
        <v>2017</v>
      </c>
      <c r="G683" t="s">
        <v>578</v>
      </c>
      <c r="H683" t="s">
        <v>352</v>
      </c>
      <c r="J683">
        <v>0</v>
      </c>
      <c r="L683">
        <v>1</v>
      </c>
      <c r="M683">
        <v>176</v>
      </c>
      <c r="N683">
        <v>43</v>
      </c>
      <c r="O683" t="s">
        <v>575</v>
      </c>
      <c r="Q683" t="s">
        <v>954</v>
      </c>
      <c r="R683" t="s">
        <v>927</v>
      </c>
      <c r="U683">
        <v>8</v>
      </c>
      <c r="V683">
        <v>8</v>
      </c>
      <c r="W683" t="s">
        <v>350</v>
      </c>
      <c r="X683" t="s">
        <v>349</v>
      </c>
      <c r="Y683" t="s">
        <v>928</v>
      </c>
      <c r="Z683">
        <v>2017</v>
      </c>
      <c r="AB683">
        <v>13</v>
      </c>
      <c r="AC683">
        <v>5.65</v>
      </c>
      <c r="AE683" t="s">
        <v>346</v>
      </c>
      <c r="AF683">
        <v>46.142674</v>
      </c>
      <c r="AG683">
        <v>-115.598088</v>
      </c>
      <c r="AH683">
        <v>14823561</v>
      </c>
    </row>
    <row r="684" spans="2:35">
      <c r="B684" t="s">
        <v>345</v>
      </c>
      <c r="C684" t="s">
        <v>925</v>
      </c>
      <c r="D684" s="3">
        <v>42856.598611111112</v>
      </c>
      <c r="F684">
        <v>2017</v>
      </c>
      <c r="G684" t="s">
        <v>578</v>
      </c>
      <c r="H684" t="s">
        <v>352</v>
      </c>
      <c r="J684">
        <v>0</v>
      </c>
      <c r="L684">
        <v>1</v>
      </c>
      <c r="M684">
        <v>151</v>
      </c>
      <c r="N684">
        <v>29</v>
      </c>
      <c r="O684" t="s">
        <v>575</v>
      </c>
      <c r="Q684" t="s">
        <v>955</v>
      </c>
      <c r="R684" t="s">
        <v>927</v>
      </c>
      <c r="U684">
        <v>8</v>
      </c>
      <c r="V684">
        <v>8</v>
      </c>
      <c r="W684" t="s">
        <v>350</v>
      </c>
      <c r="X684" t="s">
        <v>349</v>
      </c>
      <c r="Y684" t="s">
        <v>928</v>
      </c>
      <c r="Z684">
        <v>2017</v>
      </c>
      <c r="AB684">
        <v>13</v>
      </c>
      <c r="AC684">
        <v>5.65</v>
      </c>
      <c r="AE684" t="s">
        <v>346</v>
      </c>
      <c r="AF684">
        <v>46.142674</v>
      </c>
      <c r="AG684">
        <v>-115.598088</v>
      </c>
      <c r="AH684">
        <v>14823562</v>
      </c>
    </row>
    <row r="685" spans="2:35">
      <c r="B685" t="s">
        <v>345</v>
      </c>
      <c r="C685" t="s">
        <v>925</v>
      </c>
      <c r="D685" s="3">
        <v>42856.598611111112</v>
      </c>
      <c r="F685">
        <v>2017</v>
      </c>
      <c r="G685" t="s">
        <v>578</v>
      </c>
      <c r="H685" t="s">
        <v>352</v>
      </c>
      <c r="J685">
        <v>0</v>
      </c>
      <c r="L685">
        <v>1</v>
      </c>
      <c r="M685">
        <v>175</v>
      </c>
      <c r="N685">
        <v>50</v>
      </c>
      <c r="O685" t="s">
        <v>575</v>
      </c>
      <c r="Q685" t="s">
        <v>956</v>
      </c>
      <c r="R685" t="s">
        <v>927</v>
      </c>
      <c r="U685">
        <v>8</v>
      </c>
      <c r="V685">
        <v>8</v>
      </c>
      <c r="W685" t="s">
        <v>350</v>
      </c>
      <c r="X685" t="s">
        <v>349</v>
      </c>
      <c r="Y685" t="s">
        <v>928</v>
      </c>
      <c r="Z685">
        <v>2017</v>
      </c>
      <c r="AB685">
        <v>13</v>
      </c>
      <c r="AC685">
        <v>5.65</v>
      </c>
      <c r="AE685" t="s">
        <v>346</v>
      </c>
      <c r="AF685">
        <v>46.142674</v>
      </c>
      <c r="AG685">
        <v>-115.598088</v>
      </c>
      <c r="AH685">
        <v>14823563</v>
      </c>
    </row>
    <row r="686" spans="2:35">
      <c r="B686" t="s">
        <v>345</v>
      </c>
      <c r="C686" t="s">
        <v>925</v>
      </c>
      <c r="D686" s="3">
        <v>42856.598611111112</v>
      </c>
      <c r="F686">
        <v>2017</v>
      </c>
      <c r="G686" t="s">
        <v>578</v>
      </c>
      <c r="H686" t="s">
        <v>352</v>
      </c>
      <c r="J686">
        <v>0</v>
      </c>
      <c r="L686">
        <v>1</v>
      </c>
      <c r="M686">
        <v>169</v>
      </c>
      <c r="N686">
        <v>46</v>
      </c>
      <c r="O686" t="s">
        <v>575</v>
      </c>
      <c r="Q686" t="s">
        <v>957</v>
      </c>
      <c r="R686" t="s">
        <v>927</v>
      </c>
      <c r="U686">
        <v>8</v>
      </c>
      <c r="V686">
        <v>8</v>
      </c>
      <c r="W686" t="s">
        <v>350</v>
      </c>
      <c r="X686" t="s">
        <v>349</v>
      </c>
      <c r="Y686" t="s">
        <v>928</v>
      </c>
      <c r="Z686">
        <v>2017</v>
      </c>
      <c r="AB686">
        <v>13</v>
      </c>
      <c r="AC686">
        <v>5.65</v>
      </c>
      <c r="AE686" t="s">
        <v>346</v>
      </c>
      <c r="AF686">
        <v>46.142674</v>
      </c>
      <c r="AG686">
        <v>-115.598088</v>
      </c>
      <c r="AH686">
        <v>14823564</v>
      </c>
    </row>
    <row r="687" spans="2:35">
      <c r="B687" t="s">
        <v>345</v>
      </c>
      <c r="C687" t="s">
        <v>925</v>
      </c>
      <c r="D687" s="3">
        <v>42856.598611111112</v>
      </c>
      <c r="F687">
        <v>2017</v>
      </c>
      <c r="G687" t="s">
        <v>578</v>
      </c>
      <c r="H687" t="s">
        <v>352</v>
      </c>
      <c r="J687">
        <v>0</v>
      </c>
      <c r="L687">
        <v>1</v>
      </c>
      <c r="M687">
        <v>174</v>
      </c>
      <c r="N687">
        <v>56</v>
      </c>
      <c r="O687" t="s">
        <v>575</v>
      </c>
      <c r="Q687" t="s">
        <v>958</v>
      </c>
      <c r="R687" t="s">
        <v>927</v>
      </c>
      <c r="U687">
        <v>8</v>
      </c>
      <c r="V687">
        <v>8</v>
      </c>
      <c r="W687" t="s">
        <v>350</v>
      </c>
      <c r="X687" t="s">
        <v>349</v>
      </c>
      <c r="Y687" t="s">
        <v>928</v>
      </c>
      <c r="Z687">
        <v>2017</v>
      </c>
      <c r="AB687">
        <v>13</v>
      </c>
      <c r="AC687">
        <v>5.65</v>
      </c>
      <c r="AE687" t="s">
        <v>346</v>
      </c>
      <c r="AF687">
        <v>46.142674</v>
      </c>
      <c r="AG687">
        <v>-115.598088</v>
      </c>
      <c r="AH687">
        <v>14823565</v>
      </c>
    </row>
    <row r="688" spans="2:35">
      <c r="B688" t="s">
        <v>345</v>
      </c>
      <c r="C688" t="s">
        <v>925</v>
      </c>
      <c r="D688" s="3">
        <v>42856.598611111112</v>
      </c>
      <c r="F688">
        <v>2017</v>
      </c>
      <c r="G688" t="s">
        <v>578</v>
      </c>
      <c r="H688" t="s">
        <v>352</v>
      </c>
      <c r="J688">
        <v>0</v>
      </c>
      <c r="L688">
        <v>1</v>
      </c>
      <c r="M688">
        <v>185</v>
      </c>
      <c r="N688">
        <v>55</v>
      </c>
      <c r="O688" t="s">
        <v>575</v>
      </c>
      <c r="Q688" t="s">
        <v>959</v>
      </c>
      <c r="R688" t="s">
        <v>927</v>
      </c>
      <c r="U688">
        <v>8</v>
      </c>
      <c r="V688">
        <v>8</v>
      </c>
      <c r="W688" t="s">
        <v>350</v>
      </c>
      <c r="X688" t="s">
        <v>349</v>
      </c>
      <c r="Y688" t="s">
        <v>928</v>
      </c>
      <c r="Z688">
        <v>2017</v>
      </c>
      <c r="AB688">
        <v>13</v>
      </c>
      <c r="AC688">
        <v>5.65</v>
      </c>
      <c r="AE688" t="s">
        <v>346</v>
      </c>
      <c r="AF688">
        <v>46.142674</v>
      </c>
      <c r="AG688">
        <v>-115.598088</v>
      </c>
      <c r="AH688">
        <v>14823566</v>
      </c>
    </row>
    <row r="689" spans="2:34">
      <c r="B689" t="s">
        <v>345</v>
      </c>
      <c r="C689" t="s">
        <v>925</v>
      </c>
      <c r="D689" s="3">
        <v>42856.598611111112</v>
      </c>
      <c r="F689">
        <v>2017</v>
      </c>
      <c r="G689" t="s">
        <v>578</v>
      </c>
      <c r="H689" t="s">
        <v>352</v>
      </c>
      <c r="J689">
        <v>0</v>
      </c>
      <c r="L689">
        <v>1</v>
      </c>
      <c r="M689">
        <v>175</v>
      </c>
      <c r="N689">
        <v>48</v>
      </c>
      <c r="O689" t="s">
        <v>575</v>
      </c>
      <c r="Q689" t="s">
        <v>960</v>
      </c>
      <c r="R689" t="s">
        <v>927</v>
      </c>
      <c r="U689">
        <v>8</v>
      </c>
      <c r="V689">
        <v>8</v>
      </c>
      <c r="W689" t="s">
        <v>350</v>
      </c>
      <c r="X689" t="s">
        <v>349</v>
      </c>
      <c r="Y689" t="s">
        <v>928</v>
      </c>
      <c r="Z689">
        <v>2017</v>
      </c>
      <c r="AB689">
        <v>13</v>
      </c>
      <c r="AC689">
        <v>5.65</v>
      </c>
      <c r="AE689" t="s">
        <v>346</v>
      </c>
      <c r="AF689">
        <v>46.142674</v>
      </c>
      <c r="AG689">
        <v>-115.598088</v>
      </c>
      <c r="AH689">
        <v>14823567</v>
      </c>
    </row>
    <row r="690" spans="2:34">
      <c r="B690" t="s">
        <v>345</v>
      </c>
      <c r="C690" t="s">
        <v>961</v>
      </c>
      <c r="D690" s="3">
        <v>42920.401388888888</v>
      </c>
      <c r="F690">
        <v>2017</v>
      </c>
      <c r="G690" t="s">
        <v>611</v>
      </c>
      <c r="H690" t="s">
        <v>352</v>
      </c>
      <c r="J690">
        <v>0</v>
      </c>
      <c r="L690">
        <v>12</v>
      </c>
      <c r="M690">
        <v>0</v>
      </c>
      <c r="N690">
        <v>0</v>
      </c>
      <c r="O690" t="s">
        <v>643</v>
      </c>
      <c r="R690" t="s">
        <v>962</v>
      </c>
      <c r="U690">
        <v>25</v>
      </c>
      <c r="V690">
        <v>25</v>
      </c>
      <c r="W690" t="s">
        <v>350</v>
      </c>
      <c r="X690" t="s">
        <v>349</v>
      </c>
      <c r="Y690" t="s">
        <v>348</v>
      </c>
      <c r="Z690">
        <v>2017</v>
      </c>
      <c r="AB690">
        <v>9</v>
      </c>
      <c r="AC690">
        <v>3.55</v>
      </c>
      <c r="AE690" t="s">
        <v>346</v>
      </c>
      <c r="AF690">
        <v>46.142674</v>
      </c>
      <c r="AG690">
        <v>-115.598088</v>
      </c>
      <c r="AH690">
        <v>14873708</v>
      </c>
    </row>
    <row r="691" spans="2:34">
      <c r="B691" t="s">
        <v>345</v>
      </c>
      <c r="C691" t="s">
        <v>961</v>
      </c>
      <c r="D691" s="3">
        <v>42920.401388888888</v>
      </c>
      <c r="F691">
        <v>2017</v>
      </c>
      <c r="G691" t="s">
        <v>615</v>
      </c>
      <c r="H691" t="s">
        <v>352</v>
      </c>
      <c r="J691">
        <v>0</v>
      </c>
      <c r="L691">
        <v>1</v>
      </c>
      <c r="M691">
        <v>0</v>
      </c>
      <c r="N691">
        <v>0</v>
      </c>
      <c r="O691" t="s">
        <v>643</v>
      </c>
      <c r="R691" t="s">
        <v>962</v>
      </c>
      <c r="U691">
        <v>25</v>
      </c>
      <c r="V691">
        <v>25</v>
      </c>
      <c r="W691" t="s">
        <v>350</v>
      </c>
      <c r="X691" t="s">
        <v>349</v>
      </c>
      <c r="Y691" t="s">
        <v>348</v>
      </c>
      <c r="Z691">
        <v>2017</v>
      </c>
      <c r="AB691">
        <v>9</v>
      </c>
      <c r="AC691">
        <v>3.55</v>
      </c>
      <c r="AE691" t="s">
        <v>346</v>
      </c>
      <c r="AF691">
        <v>46.142674</v>
      </c>
      <c r="AG691">
        <v>-115.598088</v>
      </c>
      <c r="AH691">
        <v>14873709</v>
      </c>
    </row>
    <row r="692" spans="2:34">
      <c r="B692" t="s">
        <v>345</v>
      </c>
      <c r="C692" t="s">
        <v>961</v>
      </c>
      <c r="D692" s="3">
        <v>42920.401388888888</v>
      </c>
      <c r="F692">
        <v>2017</v>
      </c>
      <c r="G692" t="s">
        <v>602</v>
      </c>
      <c r="H692" t="s">
        <v>352</v>
      </c>
      <c r="J692">
        <v>0</v>
      </c>
      <c r="L692">
        <v>2</v>
      </c>
      <c r="M692">
        <v>0</v>
      </c>
      <c r="N692">
        <v>0</v>
      </c>
      <c r="O692" t="s">
        <v>643</v>
      </c>
      <c r="R692" t="s">
        <v>962</v>
      </c>
      <c r="U692">
        <v>25</v>
      </c>
      <c r="V692">
        <v>25</v>
      </c>
      <c r="W692" t="s">
        <v>350</v>
      </c>
      <c r="X692" t="s">
        <v>349</v>
      </c>
      <c r="Y692" t="s">
        <v>348</v>
      </c>
      <c r="Z692">
        <v>2017</v>
      </c>
      <c r="AB692">
        <v>9</v>
      </c>
      <c r="AC692">
        <v>3.55</v>
      </c>
      <c r="AE692" t="s">
        <v>346</v>
      </c>
      <c r="AF692">
        <v>46.142674</v>
      </c>
      <c r="AG692">
        <v>-115.598088</v>
      </c>
      <c r="AH692">
        <v>14873710</v>
      </c>
    </row>
    <row r="693" spans="2:34">
      <c r="B693" t="s">
        <v>345</v>
      </c>
      <c r="C693" t="s">
        <v>961</v>
      </c>
      <c r="D693" s="3">
        <v>42920.401388888888</v>
      </c>
      <c r="F693">
        <v>2017</v>
      </c>
      <c r="G693" t="s">
        <v>743</v>
      </c>
      <c r="H693" t="s">
        <v>352</v>
      </c>
      <c r="J693">
        <v>0</v>
      </c>
      <c r="L693">
        <v>2</v>
      </c>
      <c r="M693">
        <v>0</v>
      </c>
      <c r="N693">
        <v>0</v>
      </c>
      <c r="O693" t="s">
        <v>643</v>
      </c>
      <c r="R693" t="s">
        <v>962</v>
      </c>
      <c r="U693">
        <v>25</v>
      </c>
      <c r="V693">
        <v>25</v>
      </c>
      <c r="W693" t="s">
        <v>350</v>
      </c>
      <c r="X693" t="s">
        <v>349</v>
      </c>
      <c r="Y693" t="s">
        <v>348</v>
      </c>
      <c r="Z693">
        <v>2017</v>
      </c>
      <c r="AB693">
        <v>9</v>
      </c>
      <c r="AC693">
        <v>3.55</v>
      </c>
      <c r="AE693" t="s">
        <v>346</v>
      </c>
      <c r="AF693">
        <v>46.142674</v>
      </c>
      <c r="AG693">
        <v>-115.598088</v>
      </c>
      <c r="AH693">
        <v>14873711</v>
      </c>
    </row>
    <row r="694" spans="2:34">
      <c r="B694" t="s">
        <v>345</v>
      </c>
      <c r="C694" t="s">
        <v>961</v>
      </c>
      <c r="D694" s="3">
        <v>42920.401388888888</v>
      </c>
      <c r="F694">
        <v>2017</v>
      </c>
      <c r="G694" t="s">
        <v>605</v>
      </c>
      <c r="H694" t="s">
        <v>352</v>
      </c>
      <c r="J694">
        <v>0</v>
      </c>
      <c r="L694">
        <v>6</v>
      </c>
      <c r="M694">
        <v>0</v>
      </c>
      <c r="N694">
        <v>0</v>
      </c>
      <c r="O694" t="s">
        <v>643</v>
      </c>
      <c r="R694" t="s">
        <v>962</v>
      </c>
      <c r="U694">
        <v>25</v>
      </c>
      <c r="V694">
        <v>25</v>
      </c>
      <c r="W694" t="s">
        <v>350</v>
      </c>
      <c r="X694" t="s">
        <v>349</v>
      </c>
      <c r="Y694" t="s">
        <v>348</v>
      </c>
      <c r="Z694">
        <v>2017</v>
      </c>
      <c r="AB694">
        <v>9</v>
      </c>
      <c r="AC694">
        <v>3.55</v>
      </c>
      <c r="AE694" t="s">
        <v>346</v>
      </c>
      <c r="AF694">
        <v>46.142674</v>
      </c>
      <c r="AG694">
        <v>-115.598088</v>
      </c>
      <c r="AH694">
        <v>14873712</v>
      </c>
    </row>
    <row r="695" spans="2:34">
      <c r="B695" t="s">
        <v>345</v>
      </c>
      <c r="C695" t="s">
        <v>963</v>
      </c>
      <c r="D695" s="3">
        <v>43007.416666666664</v>
      </c>
      <c r="F695">
        <v>2017</v>
      </c>
      <c r="G695" t="s">
        <v>604</v>
      </c>
      <c r="H695" t="s">
        <v>352</v>
      </c>
      <c r="J695">
        <v>0</v>
      </c>
      <c r="L695">
        <v>1</v>
      </c>
      <c r="M695">
        <v>222</v>
      </c>
      <c r="N695">
        <v>122</v>
      </c>
      <c r="O695" t="s">
        <v>353</v>
      </c>
      <c r="R695" t="s">
        <v>964</v>
      </c>
      <c r="U695">
        <v>12</v>
      </c>
      <c r="V695">
        <v>12</v>
      </c>
      <c r="W695" t="s">
        <v>350</v>
      </c>
      <c r="X695" t="s">
        <v>349</v>
      </c>
      <c r="Y695" t="s">
        <v>642</v>
      </c>
      <c r="Z695">
        <v>2017</v>
      </c>
      <c r="AB695">
        <v>8</v>
      </c>
      <c r="AC695">
        <v>1.89</v>
      </c>
      <c r="AE695" t="s">
        <v>346</v>
      </c>
      <c r="AF695">
        <v>46.142674</v>
      </c>
      <c r="AG695">
        <v>-115.598088</v>
      </c>
      <c r="AH695">
        <v>14734952</v>
      </c>
    </row>
    <row r="696" spans="2:34">
      <c r="B696" t="s">
        <v>345</v>
      </c>
      <c r="C696" t="s">
        <v>963</v>
      </c>
      <c r="D696" s="3">
        <v>43007.416666666664</v>
      </c>
      <c r="F696">
        <v>2017</v>
      </c>
      <c r="G696" t="s">
        <v>421</v>
      </c>
      <c r="H696" t="s">
        <v>352</v>
      </c>
      <c r="J696">
        <v>0</v>
      </c>
      <c r="L696">
        <v>1</v>
      </c>
      <c r="M696">
        <v>261</v>
      </c>
      <c r="N696">
        <v>251</v>
      </c>
      <c r="O696" t="s">
        <v>353</v>
      </c>
      <c r="R696" t="s">
        <v>964</v>
      </c>
      <c r="U696">
        <v>12</v>
      </c>
      <c r="V696">
        <v>12</v>
      </c>
      <c r="W696" t="s">
        <v>350</v>
      </c>
      <c r="X696" t="s">
        <v>349</v>
      </c>
      <c r="Y696" t="s">
        <v>642</v>
      </c>
      <c r="Z696">
        <v>2017</v>
      </c>
      <c r="AB696">
        <v>8</v>
      </c>
      <c r="AC696">
        <v>1.89</v>
      </c>
      <c r="AE696" t="s">
        <v>346</v>
      </c>
      <c r="AF696">
        <v>46.142674</v>
      </c>
      <c r="AG696">
        <v>-115.598088</v>
      </c>
      <c r="AH696">
        <v>14734953</v>
      </c>
    </row>
    <row r="697" spans="2:34">
      <c r="B697" t="s">
        <v>345</v>
      </c>
      <c r="C697" t="s">
        <v>963</v>
      </c>
      <c r="D697" s="3">
        <v>43007.416666666664</v>
      </c>
      <c r="F697">
        <v>2017</v>
      </c>
      <c r="G697" t="s">
        <v>615</v>
      </c>
      <c r="H697" t="s">
        <v>352</v>
      </c>
      <c r="J697">
        <v>0</v>
      </c>
      <c r="L697">
        <v>1</v>
      </c>
      <c r="M697">
        <v>333</v>
      </c>
      <c r="N697">
        <v>0</v>
      </c>
      <c r="O697" t="s">
        <v>353</v>
      </c>
      <c r="R697" t="s">
        <v>964</v>
      </c>
      <c r="U697">
        <v>12</v>
      </c>
      <c r="V697">
        <v>12</v>
      </c>
      <c r="W697" t="s">
        <v>350</v>
      </c>
      <c r="X697" t="s">
        <v>349</v>
      </c>
      <c r="Y697" t="s">
        <v>642</v>
      </c>
      <c r="Z697">
        <v>2017</v>
      </c>
      <c r="AB697">
        <v>8</v>
      </c>
      <c r="AC697">
        <v>1.89</v>
      </c>
      <c r="AE697" t="s">
        <v>346</v>
      </c>
      <c r="AF697">
        <v>46.142674</v>
      </c>
      <c r="AG697">
        <v>-115.598088</v>
      </c>
      <c r="AH697">
        <v>14734954</v>
      </c>
    </row>
    <row r="698" spans="2:34">
      <c r="B698" t="s">
        <v>345</v>
      </c>
      <c r="C698" t="s">
        <v>963</v>
      </c>
      <c r="D698" s="3">
        <v>43007.416666666664</v>
      </c>
      <c r="F698">
        <v>2017</v>
      </c>
      <c r="G698" t="s">
        <v>604</v>
      </c>
      <c r="H698" t="s">
        <v>352</v>
      </c>
      <c r="J698">
        <v>0</v>
      </c>
      <c r="L698">
        <v>1</v>
      </c>
      <c r="M698">
        <v>193</v>
      </c>
      <c r="N698">
        <v>91</v>
      </c>
      <c r="O698" t="s">
        <v>353</v>
      </c>
      <c r="R698" t="s">
        <v>964</v>
      </c>
      <c r="U698">
        <v>12</v>
      </c>
      <c r="V698">
        <v>12</v>
      </c>
      <c r="W698" t="s">
        <v>350</v>
      </c>
      <c r="X698" t="s">
        <v>349</v>
      </c>
      <c r="Y698" t="s">
        <v>642</v>
      </c>
      <c r="Z698">
        <v>2017</v>
      </c>
      <c r="AB698">
        <v>8</v>
      </c>
      <c r="AC698">
        <v>1.89</v>
      </c>
      <c r="AE698" t="s">
        <v>346</v>
      </c>
      <c r="AF698">
        <v>46.142674</v>
      </c>
      <c r="AG698">
        <v>-115.598088</v>
      </c>
      <c r="AH698">
        <v>14734955</v>
      </c>
    </row>
    <row r="699" spans="2:34">
      <c r="B699" t="s">
        <v>345</v>
      </c>
      <c r="C699" t="s">
        <v>965</v>
      </c>
      <c r="D699" s="3">
        <v>42981.388888888891</v>
      </c>
      <c r="F699">
        <v>2017</v>
      </c>
      <c r="G699" t="s">
        <v>605</v>
      </c>
      <c r="H699" t="s">
        <v>352</v>
      </c>
      <c r="J699">
        <v>0</v>
      </c>
      <c r="L699">
        <v>30</v>
      </c>
      <c r="M699">
        <v>0</v>
      </c>
      <c r="N699">
        <v>0</v>
      </c>
      <c r="O699" t="s">
        <v>606</v>
      </c>
      <c r="R699" t="s">
        <v>966</v>
      </c>
      <c r="U699">
        <v>25</v>
      </c>
      <c r="V699">
        <v>25</v>
      </c>
      <c r="W699" t="s">
        <v>350</v>
      </c>
      <c r="X699" t="s">
        <v>349</v>
      </c>
      <c r="Y699" t="s">
        <v>642</v>
      </c>
      <c r="Z699">
        <v>2017</v>
      </c>
      <c r="AB699">
        <v>4</v>
      </c>
      <c r="AC699">
        <v>1.78</v>
      </c>
      <c r="AE699" t="s">
        <v>346</v>
      </c>
      <c r="AF699">
        <v>46.142674</v>
      </c>
      <c r="AG699">
        <v>-115.598088</v>
      </c>
      <c r="AH699">
        <v>14838791</v>
      </c>
    </row>
    <row r="700" spans="2:34">
      <c r="B700" t="s">
        <v>345</v>
      </c>
      <c r="C700" t="s">
        <v>965</v>
      </c>
      <c r="D700" s="3">
        <v>42981.388888888891</v>
      </c>
      <c r="F700">
        <v>2017</v>
      </c>
      <c r="G700" t="s">
        <v>602</v>
      </c>
      <c r="H700" t="s">
        <v>352</v>
      </c>
      <c r="J700">
        <v>0</v>
      </c>
      <c r="L700">
        <v>1</v>
      </c>
      <c r="M700">
        <v>0</v>
      </c>
      <c r="N700">
        <v>0</v>
      </c>
      <c r="O700" t="s">
        <v>643</v>
      </c>
      <c r="R700" t="s">
        <v>966</v>
      </c>
      <c r="U700">
        <v>25</v>
      </c>
      <c r="V700">
        <v>25</v>
      </c>
      <c r="W700" t="s">
        <v>350</v>
      </c>
      <c r="X700" t="s">
        <v>349</v>
      </c>
      <c r="Y700" t="s">
        <v>642</v>
      </c>
      <c r="Z700">
        <v>2017</v>
      </c>
      <c r="AB700">
        <v>4</v>
      </c>
      <c r="AC700">
        <v>1.78</v>
      </c>
      <c r="AE700" t="s">
        <v>346</v>
      </c>
      <c r="AF700">
        <v>46.142674</v>
      </c>
      <c r="AG700">
        <v>-115.598088</v>
      </c>
      <c r="AH700">
        <v>14838792</v>
      </c>
    </row>
    <row r="701" spans="2:34">
      <c r="B701" t="s">
        <v>345</v>
      </c>
      <c r="C701" t="s">
        <v>965</v>
      </c>
      <c r="D701" s="3">
        <v>42981.388888888891</v>
      </c>
      <c r="F701">
        <v>2017</v>
      </c>
      <c r="G701" t="s">
        <v>578</v>
      </c>
      <c r="H701" t="s">
        <v>352</v>
      </c>
      <c r="J701">
        <v>0</v>
      </c>
      <c r="L701">
        <v>1</v>
      </c>
      <c r="M701">
        <v>0</v>
      </c>
      <c r="N701">
        <v>0</v>
      </c>
      <c r="O701" t="s">
        <v>773</v>
      </c>
      <c r="R701" t="s">
        <v>966</v>
      </c>
      <c r="U701">
        <v>25</v>
      </c>
      <c r="V701">
        <v>25</v>
      </c>
      <c r="W701" t="s">
        <v>350</v>
      </c>
      <c r="X701" t="s">
        <v>349</v>
      </c>
      <c r="Y701" t="s">
        <v>642</v>
      </c>
      <c r="Z701">
        <v>2017</v>
      </c>
      <c r="AB701">
        <v>4</v>
      </c>
      <c r="AC701">
        <v>1.78</v>
      </c>
      <c r="AE701" t="s">
        <v>346</v>
      </c>
      <c r="AF701">
        <v>46.142674</v>
      </c>
      <c r="AG701">
        <v>-115.598088</v>
      </c>
      <c r="AH701">
        <v>14838793</v>
      </c>
    </row>
    <row r="702" spans="2:34">
      <c r="B702" t="s">
        <v>345</v>
      </c>
      <c r="C702" t="s">
        <v>967</v>
      </c>
      <c r="D702" s="3">
        <v>42947.65902777778</v>
      </c>
      <c r="F702">
        <v>2017</v>
      </c>
      <c r="G702" t="s">
        <v>605</v>
      </c>
      <c r="H702" t="s">
        <v>352</v>
      </c>
      <c r="J702">
        <v>0</v>
      </c>
      <c r="L702">
        <v>10</v>
      </c>
      <c r="M702">
        <v>0</v>
      </c>
      <c r="N702">
        <v>0</v>
      </c>
      <c r="O702" t="s">
        <v>606</v>
      </c>
      <c r="R702" t="s">
        <v>691</v>
      </c>
      <c r="U702">
        <v>25</v>
      </c>
      <c r="V702">
        <v>25</v>
      </c>
      <c r="W702" t="s">
        <v>350</v>
      </c>
      <c r="X702" t="s">
        <v>349</v>
      </c>
      <c r="Y702" t="s">
        <v>348</v>
      </c>
      <c r="Z702">
        <v>2017</v>
      </c>
      <c r="AB702">
        <v>5</v>
      </c>
      <c r="AC702">
        <v>2.23</v>
      </c>
      <c r="AE702" t="s">
        <v>346</v>
      </c>
      <c r="AF702">
        <v>46.142674</v>
      </c>
      <c r="AG702">
        <v>-115.598088</v>
      </c>
      <c r="AH702">
        <v>14883422</v>
      </c>
    </row>
    <row r="703" spans="2:34">
      <c r="B703" t="s">
        <v>345</v>
      </c>
      <c r="C703" t="s">
        <v>967</v>
      </c>
      <c r="D703" s="3">
        <v>42947.65902777778</v>
      </c>
      <c r="F703">
        <v>2017</v>
      </c>
      <c r="G703" t="s">
        <v>605</v>
      </c>
      <c r="H703" t="s">
        <v>352</v>
      </c>
      <c r="J703">
        <v>0</v>
      </c>
      <c r="L703">
        <v>1</v>
      </c>
      <c r="M703">
        <v>0</v>
      </c>
      <c r="N703">
        <v>0</v>
      </c>
      <c r="O703" t="s">
        <v>643</v>
      </c>
      <c r="R703" t="s">
        <v>691</v>
      </c>
      <c r="U703">
        <v>25</v>
      </c>
      <c r="V703">
        <v>25</v>
      </c>
      <c r="W703" t="s">
        <v>350</v>
      </c>
      <c r="X703" t="s">
        <v>349</v>
      </c>
      <c r="Y703" t="s">
        <v>348</v>
      </c>
      <c r="Z703">
        <v>2017</v>
      </c>
      <c r="AB703">
        <v>5</v>
      </c>
      <c r="AC703">
        <v>2.23</v>
      </c>
      <c r="AE703" t="s">
        <v>346</v>
      </c>
      <c r="AF703">
        <v>46.142674</v>
      </c>
      <c r="AG703">
        <v>-115.598088</v>
      </c>
      <c r="AH703">
        <v>14883423</v>
      </c>
    </row>
    <row r="704" spans="2:34">
      <c r="B704" t="s">
        <v>345</v>
      </c>
      <c r="C704" t="s">
        <v>967</v>
      </c>
      <c r="D704" s="3">
        <v>42947.65902777778</v>
      </c>
      <c r="F704">
        <v>2017</v>
      </c>
      <c r="G704" t="s">
        <v>602</v>
      </c>
      <c r="H704" t="s">
        <v>352</v>
      </c>
      <c r="J704">
        <v>0</v>
      </c>
      <c r="L704">
        <v>1</v>
      </c>
      <c r="M704">
        <v>0</v>
      </c>
      <c r="N704">
        <v>0</v>
      </c>
      <c r="O704" t="s">
        <v>643</v>
      </c>
      <c r="R704" t="s">
        <v>691</v>
      </c>
      <c r="U704">
        <v>25</v>
      </c>
      <c r="V704">
        <v>25</v>
      </c>
      <c r="W704" t="s">
        <v>350</v>
      </c>
      <c r="X704" t="s">
        <v>349</v>
      </c>
      <c r="Y704" t="s">
        <v>348</v>
      </c>
      <c r="Z704">
        <v>2017</v>
      </c>
      <c r="AB704">
        <v>5</v>
      </c>
      <c r="AC704">
        <v>2.23</v>
      </c>
      <c r="AE704" t="s">
        <v>346</v>
      </c>
      <c r="AF704">
        <v>46.142674</v>
      </c>
      <c r="AG704">
        <v>-115.598088</v>
      </c>
      <c r="AH704">
        <v>14883424</v>
      </c>
    </row>
    <row r="705" spans="2:34">
      <c r="B705" t="s">
        <v>345</v>
      </c>
      <c r="C705" t="s">
        <v>968</v>
      </c>
      <c r="D705" s="3">
        <v>42896.253472222219</v>
      </c>
      <c r="F705">
        <v>2017</v>
      </c>
      <c r="G705" t="s">
        <v>605</v>
      </c>
      <c r="H705" t="s">
        <v>352</v>
      </c>
      <c r="J705">
        <v>0</v>
      </c>
      <c r="L705">
        <v>1</v>
      </c>
      <c r="M705">
        <v>65</v>
      </c>
      <c r="N705">
        <v>3</v>
      </c>
      <c r="O705" t="s">
        <v>353</v>
      </c>
      <c r="R705" t="s">
        <v>969</v>
      </c>
      <c r="U705">
        <v>9</v>
      </c>
      <c r="V705">
        <v>9</v>
      </c>
      <c r="W705" t="s">
        <v>350</v>
      </c>
      <c r="X705" t="s">
        <v>349</v>
      </c>
      <c r="Y705" t="s">
        <v>348</v>
      </c>
      <c r="Z705">
        <v>2017</v>
      </c>
      <c r="AB705">
        <v>12</v>
      </c>
      <c r="AC705">
        <v>6.63</v>
      </c>
      <c r="AE705" t="s">
        <v>346</v>
      </c>
      <c r="AF705">
        <v>46.142674</v>
      </c>
      <c r="AG705">
        <v>-115.598088</v>
      </c>
      <c r="AH705">
        <v>14982278</v>
      </c>
    </row>
    <row r="706" spans="2:34">
      <c r="B706" t="s">
        <v>345</v>
      </c>
      <c r="C706" t="s">
        <v>968</v>
      </c>
      <c r="D706" s="3">
        <v>42896.253472222219</v>
      </c>
      <c r="F706">
        <v>2017</v>
      </c>
      <c r="G706" t="s">
        <v>605</v>
      </c>
      <c r="H706" t="s">
        <v>352</v>
      </c>
      <c r="J706">
        <v>0</v>
      </c>
      <c r="L706">
        <v>1</v>
      </c>
      <c r="M706">
        <v>104</v>
      </c>
      <c r="N706">
        <v>14</v>
      </c>
      <c r="O706" t="s">
        <v>353</v>
      </c>
      <c r="R706" t="s">
        <v>969</v>
      </c>
      <c r="U706">
        <v>9</v>
      </c>
      <c r="V706">
        <v>9</v>
      </c>
      <c r="W706" t="s">
        <v>350</v>
      </c>
      <c r="X706" t="s">
        <v>349</v>
      </c>
      <c r="Y706" t="s">
        <v>348</v>
      </c>
      <c r="Z706">
        <v>2017</v>
      </c>
      <c r="AB706">
        <v>12</v>
      </c>
      <c r="AC706">
        <v>6.63</v>
      </c>
      <c r="AE706" t="s">
        <v>346</v>
      </c>
      <c r="AF706">
        <v>46.142674</v>
      </c>
      <c r="AG706">
        <v>-115.598088</v>
      </c>
      <c r="AH706">
        <v>14982279</v>
      </c>
    </row>
    <row r="707" spans="2:34">
      <c r="B707" t="s">
        <v>345</v>
      </c>
      <c r="C707" t="s">
        <v>968</v>
      </c>
      <c r="D707" s="3">
        <v>42896.253472222219</v>
      </c>
      <c r="F707">
        <v>2017</v>
      </c>
      <c r="G707" t="s">
        <v>605</v>
      </c>
      <c r="H707" t="s">
        <v>352</v>
      </c>
      <c r="J707">
        <v>0</v>
      </c>
      <c r="L707">
        <v>1</v>
      </c>
      <c r="M707">
        <v>77</v>
      </c>
      <c r="N707">
        <v>5</v>
      </c>
      <c r="O707" t="s">
        <v>353</v>
      </c>
      <c r="R707" t="s">
        <v>969</v>
      </c>
      <c r="U707">
        <v>9</v>
      </c>
      <c r="V707">
        <v>9</v>
      </c>
      <c r="W707" t="s">
        <v>350</v>
      </c>
      <c r="X707" t="s">
        <v>349</v>
      </c>
      <c r="Y707" t="s">
        <v>348</v>
      </c>
      <c r="Z707">
        <v>2017</v>
      </c>
      <c r="AB707">
        <v>12</v>
      </c>
      <c r="AC707">
        <v>6.63</v>
      </c>
      <c r="AE707" t="s">
        <v>346</v>
      </c>
      <c r="AF707">
        <v>46.142674</v>
      </c>
      <c r="AG707">
        <v>-115.598088</v>
      </c>
      <c r="AH707">
        <v>14982280</v>
      </c>
    </row>
    <row r="708" spans="2:34">
      <c r="B708" t="s">
        <v>345</v>
      </c>
      <c r="C708" t="s">
        <v>968</v>
      </c>
      <c r="D708" s="3">
        <v>42896.253472222219</v>
      </c>
      <c r="F708">
        <v>2017</v>
      </c>
      <c r="G708" t="s">
        <v>610</v>
      </c>
      <c r="H708" t="s">
        <v>352</v>
      </c>
      <c r="J708">
        <v>0</v>
      </c>
      <c r="L708">
        <v>1</v>
      </c>
      <c r="M708">
        <v>45</v>
      </c>
      <c r="N708">
        <v>1</v>
      </c>
      <c r="O708" t="s">
        <v>353</v>
      </c>
      <c r="R708" t="s">
        <v>969</v>
      </c>
      <c r="U708">
        <v>9</v>
      </c>
      <c r="V708">
        <v>9</v>
      </c>
      <c r="W708" t="s">
        <v>350</v>
      </c>
      <c r="X708" t="s">
        <v>349</v>
      </c>
      <c r="Y708" t="s">
        <v>348</v>
      </c>
      <c r="Z708">
        <v>2017</v>
      </c>
      <c r="AB708">
        <v>12</v>
      </c>
      <c r="AC708">
        <v>6.63</v>
      </c>
      <c r="AE708" t="s">
        <v>346</v>
      </c>
      <c r="AF708">
        <v>46.142674</v>
      </c>
      <c r="AG708">
        <v>-115.598088</v>
      </c>
      <c r="AH708">
        <v>14982281</v>
      </c>
    </row>
    <row r="709" spans="2:34">
      <c r="B709" t="s">
        <v>345</v>
      </c>
      <c r="C709" t="s">
        <v>968</v>
      </c>
      <c r="D709" s="3">
        <v>42896.253472222219</v>
      </c>
      <c r="F709">
        <v>2017</v>
      </c>
      <c r="G709" t="s">
        <v>605</v>
      </c>
      <c r="H709" t="s">
        <v>352</v>
      </c>
      <c r="J709">
        <v>0</v>
      </c>
      <c r="L709">
        <v>1</v>
      </c>
      <c r="M709">
        <v>80</v>
      </c>
      <c r="N709">
        <v>6</v>
      </c>
      <c r="O709" t="s">
        <v>353</v>
      </c>
      <c r="R709" t="s">
        <v>969</v>
      </c>
      <c r="U709">
        <v>9</v>
      </c>
      <c r="V709">
        <v>9</v>
      </c>
      <c r="W709" t="s">
        <v>350</v>
      </c>
      <c r="X709" t="s">
        <v>349</v>
      </c>
      <c r="Y709" t="s">
        <v>348</v>
      </c>
      <c r="Z709">
        <v>2017</v>
      </c>
      <c r="AB709">
        <v>12</v>
      </c>
      <c r="AC709">
        <v>6.63</v>
      </c>
      <c r="AE709" t="s">
        <v>346</v>
      </c>
      <c r="AF709">
        <v>46.142674</v>
      </c>
      <c r="AG709">
        <v>-115.598088</v>
      </c>
      <c r="AH709">
        <v>14982282</v>
      </c>
    </row>
    <row r="710" spans="2:34">
      <c r="B710" t="s">
        <v>345</v>
      </c>
      <c r="C710" t="s">
        <v>968</v>
      </c>
      <c r="D710" s="3">
        <v>42896.253472222219</v>
      </c>
      <c r="F710">
        <v>2017</v>
      </c>
      <c r="G710" t="s">
        <v>605</v>
      </c>
      <c r="H710" t="s">
        <v>352</v>
      </c>
      <c r="J710">
        <v>0</v>
      </c>
      <c r="L710">
        <v>1</v>
      </c>
      <c r="M710">
        <v>75</v>
      </c>
      <c r="N710">
        <v>4</v>
      </c>
      <c r="O710" t="s">
        <v>353</v>
      </c>
      <c r="R710" t="s">
        <v>969</v>
      </c>
      <c r="U710">
        <v>9</v>
      </c>
      <c r="V710">
        <v>9</v>
      </c>
      <c r="W710" t="s">
        <v>350</v>
      </c>
      <c r="X710" t="s">
        <v>349</v>
      </c>
      <c r="Y710" t="s">
        <v>348</v>
      </c>
      <c r="Z710">
        <v>2017</v>
      </c>
      <c r="AB710">
        <v>12</v>
      </c>
      <c r="AC710">
        <v>6.63</v>
      </c>
      <c r="AE710" t="s">
        <v>346</v>
      </c>
      <c r="AF710">
        <v>46.142674</v>
      </c>
      <c r="AG710">
        <v>-115.598088</v>
      </c>
      <c r="AH710">
        <v>14982283</v>
      </c>
    </row>
    <row r="711" spans="2:34">
      <c r="B711" t="s">
        <v>345</v>
      </c>
      <c r="C711" t="s">
        <v>968</v>
      </c>
      <c r="D711" s="3">
        <v>42896.253472222219</v>
      </c>
      <c r="F711">
        <v>2017</v>
      </c>
      <c r="G711" t="s">
        <v>605</v>
      </c>
      <c r="H711" t="s">
        <v>352</v>
      </c>
      <c r="J711">
        <v>0</v>
      </c>
      <c r="L711">
        <v>1</v>
      </c>
      <c r="M711">
        <v>68</v>
      </c>
      <c r="N711">
        <v>3</v>
      </c>
      <c r="O711" t="s">
        <v>353</v>
      </c>
      <c r="R711" t="s">
        <v>969</v>
      </c>
      <c r="U711">
        <v>9</v>
      </c>
      <c r="V711">
        <v>9</v>
      </c>
      <c r="W711" t="s">
        <v>350</v>
      </c>
      <c r="X711" t="s">
        <v>349</v>
      </c>
      <c r="Y711" t="s">
        <v>348</v>
      </c>
      <c r="Z711">
        <v>2017</v>
      </c>
      <c r="AB711">
        <v>12</v>
      </c>
      <c r="AC711">
        <v>6.63</v>
      </c>
      <c r="AE711" t="s">
        <v>346</v>
      </c>
      <c r="AF711">
        <v>46.142674</v>
      </c>
      <c r="AG711">
        <v>-115.598088</v>
      </c>
      <c r="AH711">
        <v>14982284</v>
      </c>
    </row>
    <row r="712" spans="2:34">
      <c r="B712" t="s">
        <v>345</v>
      </c>
      <c r="C712" t="s">
        <v>968</v>
      </c>
      <c r="D712" s="3">
        <v>42896.253472222219</v>
      </c>
      <c r="F712">
        <v>2017</v>
      </c>
      <c r="G712" t="s">
        <v>615</v>
      </c>
      <c r="H712" t="s">
        <v>352</v>
      </c>
      <c r="J712">
        <v>0</v>
      </c>
      <c r="L712">
        <v>1</v>
      </c>
      <c r="M712">
        <v>91</v>
      </c>
      <c r="N712">
        <v>7</v>
      </c>
      <c r="O712" t="s">
        <v>353</v>
      </c>
      <c r="R712" t="s">
        <v>969</v>
      </c>
      <c r="U712">
        <v>9</v>
      </c>
      <c r="V712">
        <v>9</v>
      </c>
      <c r="W712" t="s">
        <v>350</v>
      </c>
      <c r="X712" t="s">
        <v>349</v>
      </c>
      <c r="Y712" t="s">
        <v>348</v>
      </c>
      <c r="Z712">
        <v>2017</v>
      </c>
      <c r="AB712">
        <v>12</v>
      </c>
      <c r="AC712">
        <v>6.63</v>
      </c>
      <c r="AE712" t="s">
        <v>346</v>
      </c>
      <c r="AF712">
        <v>46.142674</v>
      </c>
      <c r="AG712">
        <v>-115.598088</v>
      </c>
      <c r="AH712">
        <v>14982285</v>
      </c>
    </row>
    <row r="713" spans="2:34">
      <c r="B713" t="s">
        <v>345</v>
      </c>
      <c r="C713" t="s">
        <v>968</v>
      </c>
      <c r="D713" s="3">
        <v>42896.253472222219</v>
      </c>
      <c r="F713">
        <v>2017</v>
      </c>
      <c r="G713" t="s">
        <v>605</v>
      </c>
      <c r="H713" t="s">
        <v>352</v>
      </c>
      <c r="J713">
        <v>0</v>
      </c>
      <c r="L713">
        <v>1</v>
      </c>
      <c r="M713">
        <v>71</v>
      </c>
      <c r="N713">
        <v>4</v>
      </c>
      <c r="O713" t="s">
        <v>353</v>
      </c>
      <c r="R713" t="s">
        <v>969</v>
      </c>
      <c r="U713">
        <v>9</v>
      </c>
      <c r="V713">
        <v>9</v>
      </c>
      <c r="W713" t="s">
        <v>350</v>
      </c>
      <c r="X713" t="s">
        <v>349</v>
      </c>
      <c r="Y713" t="s">
        <v>348</v>
      </c>
      <c r="Z713">
        <v>2017</v>
      </c>
      <c r="AB713">
        <v>12</v>
      </c>
      <c r="AC713">
        <v>6.63</v>
      </c>
      <c r="AE713" t="s">
        <v>346</v>
      </c>
      <c r="AF713">
        <v>46.142674</v>
      </c>
      <c r="AG713">
        <v>-115.598088</v>
      </c>
      <c r="AH713">
        <v>14982286</v>
      </c>
    </row>
    <row r="714" spans="2:34">
      <c r="B714" t="s">
        <v>345</v>
      </c>
      <c r="C714" t="s">
        <v>970</v>
      </c>
      <c r="D714" s="3">
        <v>42857.340277777781</v>
      </c>
      <c r="F714">
        <v>2017</v>
      </c>
      <c r="G714" t="s">
        <v>578</v>
      </c>
      <c r="H714" t="s">
        <v>352</v>
      </c>
      <c r="J714">
        <v>0</v>
      </c>
      <c r="L714">
        <v>1</v>
      </c>
      <c r="M714">
        <v>155</v>
      </c>
      <c r="N714">
        <v>32</v>
      </c>
      <c r="O714" t="s">
        <v>575</v>
      </c>
      <c r="Q714" t="s">
        <v>576</v>
      </c>
      <c r="R714" t="s">
        <v>971</v>
      </c>
      <c r="U714">
        <v>6</v>
      </c>
      <c r="V714">
        <v>6.5</v>
      </c>
      <c r="W714" t="s">
        <v>350</v>
      </c>
      <c r="X714" t="s">
        <v>349</v>
      </c>
      <c r="Y714" t="s">
        <v>580</v>
      </c>
      <c r="Z714">
        <v>2017</v>
      </c>
      <c r="AB714">
        <v>13</v>
      </c>
      <c r="AC714">
        <v>5.67</v>
      </c>
      <c r="AE714" t="s">
        <v>346</v>
      </c>
      <c r="AF714">
        <v>46.142674</v>
      </c>
      <c r="AG714">
        <v>-115.598088</v>
      </c>
      <c r="AH714">
        <v>14985175</v>
      </c>
    </row>
    <row r="715" spans="2:34">
      <c r="B715" t="s">
        <v>345</v>
      </c>
      <c r="C715" t="s">
        <v>970</v>
      </c>
      <c r="D715" s="3">
        <v>42857.340277777781</v>
      </c>
      <c r="F715">
        <v>2017</v>
      </c>
      <c r="G715" t="s">
        <v>578</v>
      </c>
      <c r="H715" t="s">
        <v>352</v>
      </c>
      <c r="J715">
        <v>0</v>
      </c>
      <c r="L715">
        <v>1</v>
      </c>
      <c r="M715">
        <v>186</v>
      </c>
      <c r="N715">
        <v>52</v>
      </c>
      <c r="O715" t="s">
        <v>575</v>
      </c>
      <c r="Q715" t="s">
        <v>576</v>
      </c>
      <c r="R715" t="s">
        <v>971</v>
      </c>
      <c r="U715">
        <v>6</v>
      </c>
      <c r="V715">
        <v>6.5</v>
      </c>
      <c r="W715" t="s">
        <v>350</v>
      </c>
      <c r="X715" t="s">
        <v>349</v>
      </c>
      <c r="Y715" t="s">
        <v>580</v>
      </c>
      <c r="Z715">
        <v>2017</v>
      </c>
      <c r="AB715">
        <v>13</v>
      </c>
      <c r="AC715">
        <v>5.67</v>
      </c>
      <c r="AE715" t="s">
        <v>346</v>
      </c>
      <c r="AF715">
        <v>46.142674</v>
      </c>
      <c r="AG715">
        <v>-115.598088</v>
      </c>
      <c r="AH715">
        <v>14985176</v>
      </c>
    </row>
    <row r="716" spans="2:34">
      <c r="B716" t="s">
        <v>345</v>
      </c>
      <c r="C716" t="s">
        <v>970</v>
      </c>
      <c r="D716" s="3">
        <v>42857.340277777781</v>
      </c>
      <c r="F716">
        <v>2017</v>
      </c>
      <c r="G716" t="s">
        <v>574</v>
      </c>
      <c r="H716" t="s">
        <v>352</v>
      </c>
      <c r="J716">
        <v>0</v>
      </c>
      <c r="L716">
        <v>1</v>
      </c>
      <c r="M716">
        <v>103</v>
      </c>
      <c r="N716">
        <v>11</v>
      </c>
      <c r="O716" t="s">
        <v>575</v>
      </c>
      <c r="Q716" t="s">
        <v>576</v>
      </c>
      <c r="R716" t="s">
        <v>971</v>
      </c>
      <c r="U716">
        <v>6</v>
      </c>
      <c r="V716">
        <v>6.5</v>
      </c>
      <c r="W716" t="s">
        <v>350</v>
      </c>
      <c r="X716" t="s">
        <v>349</v>
      </c>
      <c r="Y716" t="s">
        <v>580</v>
      </c>
      <c r="Z716">
        <v>2017</v>
      </c>
      <c r="AB716">
        <v>13</v>
      </c>
      <c r="AC716">
        <v>5.67</v>
      </c>
      <c r="AE716" t="s">
        <v>346</v>
      </c>
      <c r="AF716">
        <v>46.142674</v>
      </c>
      <c r="AG716">
        <v>-115.598088</v>
      </c>
      <c r="AH716">
        <v>14985177</v>
      </c>
    </row>
    <row r="717" spans="2:34">
      <c r="B717" t="s">
        <v>345</v>
      </c>
      <c r="C717" t="s">
        <v>970</v>
      </c>
      <c r="D717" s="3">
        <v>42857.340277777781</v>
      </c>
      <c r="F717">
        <v>2017</v>
      </c>
      <c r="G717" t="s">
        <v>578</v>
      </c>
      <c r="H717" t="s">
        <v>352</v>
      </c>
      <c r="J717">
        <v>0</v>
      </c>
      <c r="L717">
        <v>1</v>
      </c>
      <c r="M717">
        <v>180</v>
      </c>
      <c r="N717">
        <v>52</v>
      </c>
      <c r="O717" t="s">
        <v>575</v>
      </c>
      <c r="Q717" t="s">
        <v>972</v>
      </c>
      <c r="R717" t="s">
        <v>971</v>
      </c>
      <c r="U717">
        <v>6</v>
      </c>
      <c r="V717">
        <v>6.5</v>
      </c>
      <c r="W717" t="s">
        <v>350</v>
      </c>
      <c r="X717" t="s">
        <v>349</v>
      </c>
      <c r="Y717" t="s">
        <v>580</v>
      </c>
      <c r="Z717">
        <v>2017</v>
      </c>
      <c r="AB717">
        <v>13</v>
      </c>
      <c r="AC717">
        <v>5.67</v>
      </c>
      <c r="AE717" t="s">
        <v>346</v>
      </c>
      <c r="AF717">
        <v>46.142674</v>
      </c>
      <c r="AG717">
        <v>-115.598088</v>
      </c>
      <c r="AH717">
        <v>14985178</v>
      </c>
    </row>
    <row r="718" spans="2:34">
      <c r="B718" t="s">
        <v>345</v>
      </c>
      <c r="C718" t="s">
        <v>970</v>
      </c>
      <c r="D718" s="3">
        <v>42857.340277777781</v>
      </c>
      <c r="F718">
        <v>2017</v>
      </c>
      <c r="G718" t="s">
        <v>578</v>
      </c>
      <c r="H718" t="s">
        <v>352</v>
      </c>
      <c r="J718">
        <v>0</v>
      </c>
      <c r="L718">
        <v>1</v>
      </c>
      <c r="M718">
        <v>185</v>
      </c>
      <c r="N718">
        <v>54</v>
      </c>
      <c r="O718" t="s">
        <v>575</v>
      </c>
      <c r="Q718" t="s">
        <v>973</v>
      </c>
      <c r="R718" t="s">
        <v>971</v>
      </c>
      <c r="U718">
        <v>6</v>
      </c>
      <c r="V718">
        <v>6.5</v>
      </c>
      <c r="W718" t="s">
        <v>350</v>
      </c>
      <c r="X718" t="s">
        <v>349</v>
      </c>
      <c r="Y718" t="s">
        <v>580</v>
      </c>
      <c r="Z718">
        <v>2017</v>
      </c>
      <c r="AB718">
        <v>13</v>
      </c>
      <c r="AC718">
        <v>5.67</v>
      </c>
      <c r="AE718" t="s">
        <v>346</v>
      </c>
      <c r="AF718">
        <v>46.142674</v>
      </c>
      <c r="AG718">
        <v>-115.598088</v>
      </c>
      <c r="AH718">
        <v>14985179</v>
      </c>
    </row>
    <row r="719" spans="2:34">
      <c r="B719" t="s">
        <v>345</v>
      </c>
      <c r="C719" t="s">
        <v>970</v>
      </c>
      <c r="D719" s="3">
        <v>42857.340277777781</v>
      </c>
      <c r="F719">
        <v>2017</v>
      </c>
      <c r="G719" t="s">
        <v>578</v>
      </c>
      <c r="H719" t="s">
        <v>352</v>
      </c>
      <c r="J719">
        <v>0</v>
      </c>
      <c r="L719">
        <v>1</v>
      </c>
      <c r="M719">
        <v>163</v>
      </c>
      <c r="N719">
        <v>41</v>
      </c>
      <c r="O719" t="s">
        <v>575</v>
      </c>
      <c r="Q719" t="s">
        <v>974</v>
      </c>
      <c r="R719" t="s">
        <v>971</v>
      </c>
      <c r="U719">
        <v>6</v>
      </c>
      <c r="V719">
        <v>6.5</v>
      </c>
      <c r="W719" t="s">
        <v>350</v>
      </c>
      <c r="X719" t="s">
        <v>349</v>
      </c>
      <c r="Y719" t="s">
        <v>580</v>
      </c>
      <c r="Z719">
        <v>2017</v>
      </c>
      <c r="AB719">
        <v>13</v>
      </c>
      <c r="AC719">
        <v>5.67</v>
      </c>
      <c r="AE719" t="s">
        <v>346</v>
      </c>
      <c r="AF719">
        <v>46.142674</v>
      </c>
      <c r="AG719">
        <v>-115.598088</v>
      </c>
      <c r="AH719">
        <v>14985180</v>
      </c>
    </row>
    <row r="720" spans="2:34">
      <c r="B720" t="s">
        <v>345</v>
      </c>
      <c r="C720" t="s">
        <v>970</v>
      </c>
      <c r="D720" s="3">
        <v>42857.340277777781</v>
      </c>
      <c r="F720">
        <v>2017</v>
      </c>
      <c r="G720" t="s">
        <v>578</v>
      </c>
      <c r="H720" t="s">
        <v>352</v>
      </c>
      <c r="J720">
        <v>0</v>
      </c>
      <c r="L720">
        <v>1</v>
      </c>
      <c r="M720">
        <v>153</v>
      </c>
      <c r="N720">
        <v>33</v>
      </c>
      <c r="O720" t="s">
        <v>575</v>
      </c>
      <c r="Q720" t="s">
        <v>975</v>
      </c>
      <c r="R720" t="s">
        <v>971</v>
      </c>
      <c r="U720">
        <v>6</v>
      </c>
      <c r="V720">
        <v>6.5</v>
      </c>
      <c r="W720" t="s">
        <v>350</v>
      </c>
      <c r="X720" t="s">
        <v>349</v>
      </c>
      <c r="Y720" t="s">
        <v>580</v>
      </c>
      <c r="Z720">
        <v>2017</v>
      </c>
      <c r="AB720">
        <v>13</v>
      </c>
      <c r="AC720">
        <v>5.67</v>
      </c>
      <c r="AE720" t="s">
        <v>346</v>
      </c>
      <c r="AF720">
        <v>46.142674</v>
      </c>
      <c r="AG720">
        <v>-115.598088</v>
      </c>
      <c r="AH720">
        <v>14985181</v>
      </c>
    </row>
    <row r="721" spans="2:34">
      <c r="B721" t="s">
        <v>345</v>
      </c>
      <c r="C721" t="s">
        <v>970</v>
      </c>
      <c r="D721" s="3">
        <v>42857.340277777781</v>
      </c>
      <c r="F721">
        <v>2017</v>
      </c>
      <c r="G721" t="s">
        <v>578</v>
      </c>
      <c r="H721" t="s">
        <v>352</v>
      </c>
      <c r="J721">
        <v>0</v>
      </c>
      <c r="L721">
        <v>1</v>
      </c>
      <c r="M721">
        <v>178</v>
      </c>
      <c r="N721">
        <v>53</v>
      </c>
      <c r="O721" t="s">
        <v>575</v>
      </c>
      <c r="Q721" t="s">
        <v>576</v>
      </c>
      <c r="R721" t="s">
        <v>971</v>
      </c>
      <c r="U721">
        <v>6</v>
      </c>
      <c r="V721">
        <v>6.5</v>
      </c>
      <c r="W721" t="s">
        <v>350</v>
      </c>
      <c r="X721" t="s">
        <v>349</v>
      </c>
      <c r="Y721" t="s">
        <v>580</v>
      </c>
      <c r="Z721">
        <v>2017</v>
      </c>
      <c r="AB721">
        <v>13</v>
      </c>
      <c r="AC721">
        <v>5.67</v>
      </c>
      <c r="AE721" t="s">
        <v>346</v>
      </c>
      <c r="AF721">
        <v>46.142674</v>
      </c>
      <c r="AG721">
        <v>-115.598088</v>
      </c>
      <c r="AH721">
        <v>14985182</v>
      </c>
    </row>
    <row r="722" spans="2:34">
      <c r="B722" t="s">
        <v>345</v>
      </c>
      <c r="C722" t="s">
        <v>970</v>
      </c>
      <c r="D722" s="3">
        <v>42857.340277777781</v>
      </c>
      <c r="F722">
        <v>2017</v>
      </c>
      <c r="G722" t="s">
        <v>578</v>
      </c>
      <c r="H722" t="s">
        <v>352</v>
      </c>
      <c r="J722">
        <v>0</v>
      </c>
      <c r="L722">
        <v>1</v>
      </c>
      <c r="M722">
        <v>195</v>
      </c>
      <c r="N722">
        <v>60</v>
      </c>
      <c r="O722" t="s">
        <v>575</v>
      </c>
      <c r="Q722" t="s">
        <v>976</v>
      </c>
      <c r="R722" t="s">
        <v>971</v>
      </c>
      <c r="U722">
        <v>6</v>
      </c>
      <c r="V722">
        <v>6.5</v>
      </c>
      <c r="W722" t="s">
        <v>350</v>
      </c>
      <c r="X722" t="s">
        <v>349</v>
      </c>
      <c r="Y722" t="s">
        <v>580</v>
      </c>
      <c r="Z722">
        <v>2017</v>
      </c>
      <c r="AB722">
        <v>13</v>
      </c>
      <c r="AC722">
        <v>5.67</v>
      </c>
      <c r="AE722" t="s">
        <v>346</v>
      </c>
      <c r="AF722">
        <v>46.142674</v>
      </c>
      <c r="AG722">
        <v>-115.598088</v>
      </c>
      <c r="AH722">
        <v>14985183</v>
      </c>
    </row>
    <row r="723" spans="2:34">
      <c r="B723" t="s">
        <v>345</v>
      </c>
      <c r="C723" t="s">
        <v>970</v>
      </c>
      <c r="D723" s="3">
        <v>42857.340277777781</v>
      </c>
      <c r="F723">
        <v>2017</v>
      </c>
      <c r="G723" t="s">
        <v>578</v>
      </c>
      <c r="H723" t="s">
        <v>352</v>
      </c>
      <c r="J723">
        <v>0</v>
      </c>
      <c r="L723">
        <v>1</v>
      </c>
      <c r="M723">
        <v>193</v>
      </c>
      <c r="N723">
        <v>62</v>
      </c>
      <c r="O723" t="s">
        <v>575</v>
      </c>
      <c r="Q723" t="s">
        <v>977</v>
      </c>
      <c r="R723" t="s">
        <v>971</v>
      </c>
      <c r="U723">
        <v>6</v>
      </c>
      <c r="V723">
        <v>6.5</v>
      </c>
      <c r="W723" t="s">
        <v>350</v>
      </c>
      <c r="X723" t="s">
        <v>349</v>
      </c>
      <c r="Y723" t="s">
        <v>580</v>
      </c>
      <c r="Z723">
        <v>2017</v>
      </c>
      <c r="AB723">
        <v>13</v>
      </c>
      <c r="AC723">
        <v>5.67</v>
      </c>
      <c r="AE723" t="s">
        <v>346</v>
      </c>
      <c r="AF723">
        <v>46.142674</v>
      </c>
      <c r="AG723">
        <v>-115.598088</v>
      </c>
      <c r="AH723">
        <v>14985184</v>
      </c>
    </row>
    <row r="724" spans="2:34">
      <c r="B724" t="s">
        <v>345</v>
      </c>
      <c r="C724" t="s">
        <v>970</v>
      </c>
      <c r="D724" s="3">
        <v>42857.340277777781</v>
      </c>
      <c r="F724">
        <v>2017</v>
      </c>
      <c r="G724" t="s">
        <v>578</v>
      </c>
      <c r="H724" t="s">
        <v>352</v>
      </c>
      <c r="J724">
        <v>0</v>
      </c>
      <c r="L724">
        <v>1</v>
      </c>
      <c r="M724">
        <v>157</v>
      </c>
      <c r="N724">
        <v>36</v>
      </c>
      <c r="O724" t="s">
        <v>575</v>
      </c>
      <c r="Q724" t="s">
        <v>978</v>
      </c>
      <c r="R724" t="s">
        <v>971</v>
      </c>
      <c r="U724">
        <v>6</v>
      </c>
      <c r="V724">
        <v>6.5</v>
      </c>
      <c r="W724" t="s">
        <v>350</v>
      </c>
      <c r="X724" t="s">
        <v>349</v>
      </c>
      <c r="Y724" t="s">
        <v>580</v>
      </c>
      <c r="Z724">
        <v>2017</v>
      </c>
      <c r="AB724">
        <v>13</v>
      </c>
      <c r="AC724">
        <v>5.67</v>
      </c>
      <c r="AE724" t="s">
        <v>346</v>
      </c>
      <c r="AF724">
        <v>46.142674</v>
      </c>
      <c r="AG724">
        <v>-115.598088</v>
      </c>
      <c r="AH724">
        <v>14985185</v>
      </c>
    </row>
    <row r="725" spans="2:34">
      <c r="B725" t="s">
        <v>345</v>
      </c>
      <c r="C725" t="s">
        <v>970</v>
      </c>
      <c r="D725" s="3">
        <v>42857.340277777781</v>
      </c>
      <c r="F725">
        <v>2017</v>
      </c>
      <c r="G725" t="s">
        <v>578</v>
      </c>
      <c r="H725" t="s">
        <v>352</v>
      </c>
      <c r="J725">
        <v>0</v>
      </c>
      <c r="L725">
        <v>1</v>
      </c>
      <c r="M725">
        <v>175</v>
      </c>
      <c r="N725">
        <v>47</v>
      </c>
      <c r="O725" t="s">
        <v>575</v>
      </c>
      <c r="Q725" t="s">
        <v>576</v>
      </c>
      <c r="R725" t="s">
        <v>971</v>
      </c>
      <c r="U725">
        <v>6</v>
      </c>
      <c r="V725">
        <v>6.5</v>
      </c>
      <c r="W725" t="s">
        <v>350</v>
      </c>
      <c r="X725" t="s">
        <v>349</v>
      </c>
      <c r="Y725" t="s">
        <v>580</v>
      </c>
      <c r="Z725">
        <v>2017</v>
      </c>
      <c r="AB725">
        <v>13</v>
      </c>
      <c r="AC725">
        <v>5.67</v>
      </c>
      <c r="AE725" t="s">
        <v>346</v>
      </c>
      <c r="AF725">
        <v>46.142674</v>
      </c>
      <c r="AG725">
        <v>-115.598088</v>
      </c>
      <c r="AH725">
        <v>14985186</v>
      </c>
    </row>
    <row r="726" spans="2:34">
      <c r="B726" t="s">
        <v>345</v>
      </c>
      <c r="C726" t="s">
        <v>970</v>
      </c>
      <c r="D726" s="3">
        <v>42857.340277777781</v>
      </c>
      <c r="F726">
        <v>2017</v>
      </c>
      <c r="G726" t="s">
        <v>578</v>
      </c>
      <c r="H726" t="s">
        <v>352</v>
      </c>
      <c r="J726">
        <v>0</v>
      </c>
      <c r="L726">
        <v>1</v>
      </c>
      <c r="M726">
        <v>208</v>
      </c>
      <c r="N726">
        <v>67</v>
      </c>
      <c r="O726" t="s">
        <v>575</v>
      </c>
      <c r="Q726" t="s">
        <v>576</v>
      </c>
      <c r="R726" t="s">
        <v>971</v>
      </c>
      <c r="U726">
        <v>6</v>
      </c>
      <c r="V726">
        <v>6.5</v>
      </c>
      <c r="W726" t="s">
        <v>350</v>
      </c>
      <c r="X726" t="s">
        <v>349</v>
      </c>
      <c r="Y726" t="s">
        <v>580</v>
      </c>
      <c r="Z726">
        <v>2017</v>
      </c>
      <c r="AB726">
        <v>13</v>
      </c>
      <c r="AC726">
        <v>5.67</v>
      </c>
      <c r="AE726" t="s">
        <v>346</v>
      </c>
      <c r="AF726">
        <v>46.142674</v>
      </c>
      <c r="AG726">
        <v>-115.598088</v>
      </c>
      <c r="AH726">
        <v>14985187</v>
      </c>
    </row>
    <row r="727" spans="2:34">
      <c r="B727" t="s">
        <v>345</v>
      </c>
      <c r="C727" t="s">
        <v>970</v>
      </c>
      <c r="D727" s="3">
        <v>42857.340277777781</v>
      </c>
      <c r="F727">
        <v>2017</v>
      </c>
      <c r="G727" t="s">
        <v>578</v>
      </c>
      <c r="H727" t="s">
        <v>352</v>
      </c>
      <c r="J727">
        <v>0</v>
      </c>
      <c r="L727">
        <v>1</v>
      </c>
      <c r="M727">
        <v>190</v>
      </c>
      <c r="N727">
        <v>63</v>
      </c>
      <c r="O727" t="s">
        <v>575</v>
      </c>
      <c r="Q727" t="s">
        <v>979</v>
      </c>
      <c r="R727" t="s">
        <v>971</v>
      </c>
      <c r="U727">
        <v>6</v>
      </c>
      <c r="V727">
        <v>6.5</v>
      </c>
      <c r="W727" t="s">
        <v>350</v>
      </c>
      <c r="X727" t="s">
        <v>349</v>
      </c>
      <c r="Y727" t="s">
        <v>580</v>
      </c>
      <c r="Z727">
        <v>2017</v>
      </c>
      <c r="AB727">
        <v>13</v>
      </c>
      <c r="AC727">
        <v>5.67</v>
      </c>
      <c r="AE727" t="s">
        <v>346</v>
      </c>
      <c r="AF727">
        <v>46.142674</v>
      </c>
      <c r="AG727">
        <v>-115.598088</v>
      </c>
      <c r="AH727">
        <v>14985188</v>
      </c>
    </row>
    <row r="728" spans="2:34">
      <c r="B728" t="s">
        <v>345</v>
      </c>
      <c r="C728" t="s">
        <v>970</v>
      </c>
      <c r="D728" s="3">
        <v>42857.340277777781</v>
      </c>
      <c r="F728">
        <v>2017</v>
      </c>
      <c r="G728" t="s">
        <v>578</v>
      </c>
      <c r="H728" t="s">
        <v>352</v>
      </c>
      <c r="J728">
        <v>0</v>
      </c>
      <c r="L728">
        <v>1</v>
      </c>
      <c r="M728">
        <v>170</v>
      </c>
      <c r="N728">
        <v>45</v>
      </c>
      <c r="O728" t="s">
        <v>575</v>
      </c>
      <c r="Q728" t="s">
        <v>980</v>
      </c>
      <c r="R728" t="s">
        <v>971</v>
      </c>
      <c r="U728">
        <v>6</v>
      </c>
      <c r="V728">
        <v>6.5</v>
      </c>
      <c r="W728" t="s">
        <v>350</v>
      </c>
      <c r="X728" t="s">
        <v>349</v>
      </c>
      <c r="Y728" t="s">
        <v>580</v>
      </c>
      <c r="Z728">
        <v>2017</v>
      </c>
      <c r="AB728">
        <v>13</v>
      </c>
      <c r="AC728">
        <v>5.67</v>
      </c>
      <c r="AE728" t="s">
        <v>346</v>
      </c>
      <c r="AF728">
        <v>46.142674</v>
      </c>
      <c r="AG728">
        <v>-115.598088</v>
      </c>
      <c r="AH728">
        <v>14985189</v>
      </c>
    </row>
    <row r="729" spans="2:34">
      <c r="B729" t="s">
        <v>345</v>
      </c>
      <c r="C729" t="s">
        <v>970</v>
      </c>
      <c r="D729" s="3">
        <v>42857.340277777781</v>
      </c>
      <c r="F729">
        <v>2017</v>
      </c>
      <c r="G729" t="s">
        <v>578</v>
      </c>
      <c r="H729" t="s">
        <v>352</v>
      </c>
      <c r="J729">
        <v>0</v>
      </c>
      <c r="L729">
        <v>1</v>
      </c>
      <c r="M729">
        <v>180</v>
      </c>
      <c r="N729">
        <v>51</v>
      </c>
      <c r="O729" t="s">
        <v>575</v>
      </c>
      <c r="Q729" t="s">
        <v>981</v>
      </c>
      <c r="R729" t="s">
        <v>971</v>
      </c>
      <c r="U729">
        <v>6</v>
      </c>
      <c r="V729">
        <v>6.5</v>
      </c>
      <c r="W729" t="s">
        <v>350</v>
      </c>
      <c r="X729" t="s">
        <v>349</v>
      </c>
      <c r="Y729" t="s">
        <v>580</v>
      </c>
      <c r="Z729">
        <v>2017</v>
      </c>
      <c r="AB729">
        <v>13</v>
      </c>
      <c r="AC729">
        <v>5.67</v>
      </c>
      <c r="AE729" t="s">
        <v>346</v>
      </c>
      <c r="AF729">
        <v>46.142674</v>
      </c>
      <c r="AG729">
        <v>-115.598088</v>
      </c>
      <c r="AH729">
        <v>14985190</v>
      </c>
    </row>
    <row r="730" spans="2:34">
      <c r="B730" t="s">
        <v>345</v>
      </c>
      <c r="C730" t="s">
        <v>970</v>
      </c>
      <c r="D730" s="3">
        <v>42857.340277777781</v>
      </c>
      <c r="F730">
        <v>2017</v>
      </c>
      <c r="G730" t="s">
        <v>578</v>
      </c>
      <c r="H730" t="s">
        <v>352</v>
      </c>
      <c r="J730">
        <v>0</v>
      </c>
      <c r="L730">
        <v>1</v>
      </c>
      <c r="M730">
        <v>179</v>
      </c>
      <c r="N730">
        <v>52</v>
      </c>
      <c r="O730" t="s">
        <v>575</v>
      </c>
      <c r="Q730" t="s">
        <v>576</v>
      </c>
      <c r="R730" t="s">
        <v>971</v>
      </c>
      <c r="U730">
        <v>6</v>
      </c>
      <c r="V730">
        <v>6.5</v>
      </c>
      <c r="W730" t="s">
        <v>350</v>
      </c>
      <c r="X730" t="s">
        <v>349</v>
      </c>
      <c r="Y730" t="s">
        <v>580</v>
      </c>
      <c r="Z730">
        <v>2017</v>
      </c>
      <c r="AB730">
        <v>13</v>
      </c>
      <c r="AC730">
        <v>5.67</v>
      </c>
      <c r="AE730" t="s">
        <v>346</v>
      </c>
      <c r="AF730">
        <v>46.142674</v>
      </c>
      <c r="AG730">
        <v>-115.598088</v>
      </c>
      <c r="AH730">
        <v>14985191</v>
      </c>
    </row>
    <row r="731" spans="2:34">
      <c r="B731" t="s">
        <v>345</v>
      </c>
      <c r="C731" t="s">
        <v>970</v>
      </c>
      <c r="D731" s="3">
        <v>42857.340277777781</v>
      </c>
      <c r="F731">
        <v>2017</v>
      </c>
      <c r="G731" t="s">
        <v>578</v>
      </c>
      <c r="H731" t="s">
        <v>352</v>
      </c>
      <c r="J731">
        <v>0</v>
      </c>
      <c r="L731">
        <v>1</v>
      </c>
      <c r="M731">
        <v>185</v>
      </c>
      <c r="N731">
        <v>58</v>
      </c>
      <c r="O731" t="s">
        <v>575</v>
      </c>
      <c r="Q731" t="s">
        <v>576</v>
      </c>
      <c r="R731" t="s">
        <v>971</v>
      </c>
      <c r="U731">
        <v>6</v>
      </c>
      <c r="V731">
        <v>6.5</v>
      </c>
      <c r="W731" t="s">
        <v>350</v>
      </c>
      <c r="X731" t="s">
        <v>349</v>
      </c>
      <c r="Y731" t="s">
        <v>580</v>
      </c>
      <c r="Z731">
        <v>2017</v>
      </c>
      <c r="AB731">
        <v>13</v>
      </c>
      <c r="AC731">
        <v>5.67</v>
      </c>
      <c r="AE731" t="s">
        <v>346</v>
      </c>
      <c r="AF731">
        <v>46.142674</v>
      </c>
      <c r="AG731">
        <v>-115.598088</v>
      </c>
      <c r="AH731">
        <v>14985192</v>
      </c>
    </row>
    <row r="732" spans="2:34">
      <c r="B732" t="s">
        <v>345</v>
      </c>
      <c r="C732" t="s">
        <v>970</v>
      </c>
      <c r="D732" s="3">
        <v>42857.340277777781</v>
      </c>
      <c r="F732">
        <v>2017</v>
      </c>
      <c r="G732" t="s">
        <v>578</v>
      </c>
      <c r="H732" t="s">
        <v>352</v>
      </c>
      <c r="J732">
        <v>0</v>
      </c>
      <c r="L732">
        <v>1</v>
      </c>
      <c r="M732">
        <v>159</v>
      </c>
      <c r="N732">
        <v>36</v>
      </c>
      <c r="O732" t="s">
        <v>575</v>
      </c>
      <c r="Q732" t="s">
        <v>982</v>
      </c>
      <c r="R732" t="s">
        <v>971</v>
      </c>
      <c r="U732">
        <v>6</v>
      </c>
      <c r="V732">
        <v>6.5</v>
      </c>
      <c r="W732" t="s">
        <v>350</v>
      </c>
      <c r="X732" t="s">
        <v>349</v>
      </c>
      <c r="Y732" t="s">
        <v>580</v>
      </c>
      <c r="Z732">
        <v>2017</v>
      </c>
      <c r="AB732">
        <v>13</v>
      </c>
      <c r="AC732">
        <v>5.67</v>
      </c>
      <c r="AE732" t="s">
        <v>346</v>
      </c>
      <c r="AF732">
        <v>46.142674</v>
      </c>
      <c r="AG732">
        <v>-115.598088</v>
      </c>
      <c r="AH732">
        <v>14985193</v>
      </c>
    </row>
    <row r="733" spans="2:34">
      <c r="B733" t="s">
        <v>345</v>
      </c>
      <c r="C733" t="s">
        <v>970</v>
      </c>
      <c r="D733" s="3">
        <v>42857.340277777781</v>
      </c>
      <c r="F733">
        <v>2017</v>
      </c>
      <c r="G733" t="s">
        <v>578</v>
      </c>
      <c r="H733" t="s">
        <v>352</v>
      </c>
      <c r="J733">
        <v>0</v>
      </c>
      <c r="L733">
        <v>1</v>
      </c>
      <c r="M733">
        <v>175</v>
      </c>
      <c r="N733">
        <v>46</v>
      </c>
      <c r="O733" t="s">
        <v>575</v>
      </c>
      <c r="Q733" t="s">
        <v>983</v>
      </c>
      <c r="R733" t="s">
        <v>971</v>
      </c>
      <c r="U733">
        <v>6</v>
      </c>
      <c r="V733">
        <v>6.5</v>
      </c>
      <c r="W733" t="s">
        <v>350</v>
      </c>
      <c r="X733" t="s">
        <v>349</v>
      </c>
      <c r="Y733" t="s">
        <v>580</v>
      </c>
      <c r="Z733">
        <v>2017</v>
      </c>
      <c r="AB733">
        <v>13</v>
      </c>
      <c r="AC733">
        <v>5.67</v>
      </c>
      <c r="AE733" t="s">
        <v>346</v>
      </c>
      <c r="AF733">
        <v>46.142674</v>
      </c>
      <c r="AG733">
        <v>-115.598088</v>
      </c>
      <c r="AH733">
        <v>14985194</v>
      </c>
    </row>
    <row r="734" spans="2:34">
      <c r="B734" t="s">
        <v>345</v>
      </c>
      <c r="C734" t="s">
        <v>970</v>
      </c>
      <c r="D734" s="3">
        <v>42857.340277777781</v>
      </c>
      <c r="F734">
        <v>2017</v>
      </c>
      <c r="G734" t="s">
        <v>578</v>
      </c>
      <c r="H734" t="s">
        <v>352</v>
      </c>
      <c r="J734">
        <v>0</v>
      </c>
      <c r="L734">
        <v>1</v>
      </c>
      <c r="M734">
        <v>196</v>
      </c>
      <c r="N734">
        <v>69</v>
      </c>
      <c r="O734" t="s">
        <v>575</v>
      </c>
      <c r="Q734" t="s">
        <v>984</v>
      </c>
      <c r="R734" t="s">
        <v>971</v>
      </c>
      <c r="U734">
        <v>6</v>
      </c>
      <c r="V734">
        <v>6.5</v>
      </c>
      <c r="W734" t="s">
        <v>350</v>
      </c>
      <c r="X734" t="s">
        <v>349</v>
      </c>
      <c r="Y734" t="s">
        <v>580</v>
      </c>
      <c r="Z734">
        <v>2017</v>
      </c>
      <c r="AB734">
        <v>13</v>
      </c>
      <c r="AC734">
        <v>5.67</v>
      </c>
      <c r="AE734" t="s">
        <v>346</v>
      </c>
      <c r="AF734">
        <v>46.142674</v>
      </c>
      <c r="AG734">
        <v>-115.598088</v>
      </c>
      <c r="AH734">
        <v>14985195</v>
      </c>
    </row>
    <row r="735" spans="2:34">
      <c r="B735" t="s">
        <v>345</v>
      </c>
      <c r="C735" t="s">
        <v>970</v>
      </c>
      <c r="D735" s="3">
        <v>42857.340277777781</v>
      </c>
      <c r="F735">
        <v>2017</v>
      </c>
      <c r="G735" t="s">
        <v>578</v>
      </c>
      <c r="H735" t="s">
        <v>352</v>
      </c>
      <c r="J735">
        <v>0</v>
      </c>
      <c r="L735">
        <v>1</v>
      </c>
      <c r="M735">
        <v>189</v>
      </c>
      <c r="N735">
        <v>61</v>
      </c>
      <c r="O735" t="s">
        <v>575</v>
      </c>
      <c r="Q735" t="s">
        <v>576</v>
      </c>
      <c r="R735" t="s">
        <v>971</v>
      </c>
      <c r="U735">
        <v>6</v>
      </c>
      <c r="V735">
        <v>6.5</v>
      </c>
      <c r="W735" t="s">
        <v>350</v>
      </c>
      <c r="X735" t="s">
        <v>349</v>
      </c>
      <c r="Y735" t="s">
        <v>580</v>
      </c>
      <c r="Z735">
        <v>2017</v>
      </c>
      <c r="AB735">
        <v>13</v>
      </c>
      <c r="AC735">
        <v>5.67</v>
      </c>
      <c r="AE735" t="s">
        <v>346</v>
      </c>
      <c r="AF735">
        <v>46.142674</v>
      </c>
      <c r="AG735">
        <v>-115.598088</v>
      </c>
      <c r="AH735">
        <v>14985196</v>
      </c>
    </row>
    <row r="736" spans="2:34">
      <c r="B736" t="s">
        <v>345</v>
      </c>
      <c r="C736" t="s">
        <v>985</v>
      </c>
      <c r="D736" s="3">
        <v>42973.688194444447</v>
      </c>
      <c r="F736">
        <v>2017</v>
      </c>
      <c r="G736" t="s">
        <v>602</v>
      </c>
      <c r="H736" t="s">
        <v>352</v>
      </c>
      <c r="J736">
        <v>0</v>
      </c>
      <c r="L736">
        <v>1</v>
      </c>
      <c r="M736">
        <v>0</v>
      </c>
      <c r="N736">
        <v>0</v>
      </c>
      <c r="O736" t="s">
        <v>643</v>
      </c>
      <c r="R736" t="s">
        <v>603</v>
      </c>
      <c r="U736">
        <v>25</v>
      </c>
      <c r="V736">
        <v>25</v>
      </c>
      <c r="W736" t="s">
        <v>350</v>
      </c>
      <c r="X736" t="s">
        <v>349</v>
      </c>
      <c r="Y736" t="s">
        <v>348</v>
      </c>
      <c r="Z736">
        <v>2017</v>
      </c>
      <c r="AB736">
        <v>6</v>
      </c>
      <c r="AC736">
        <v>1.89</v>
      </c>
      <c r="AE736" t="s">
        <v>346</v>
      </c>
      <c r="AF736">
        <v>46.142674</v>
      </c>
      <c r="AG736">
        <v>-115.598088</v>
      </c>
      <c r="AH736">
        <v>14989020</v>
      </c>
    </row>
    <row r="737" spans="2:34">
      <c r="B737" t="s">
        <v>345</v>
      </c>
      <c r="C737" t="s">
        <v>985</v>
      </c>
      <c r="D737" s="3">
        <v>42973.688194444447</v>
      </c>
      <c r="F737">
        <v>2017</v>
      </c>
      <c r="G737" t="s">
        <v>605</v>
      </c>
      <c r="H737" t="s">
        <v>352</v>
      </c>
      <c r="J737">
        <v>0</v>
      </c>
      <c r="L737">
        <v>40</v>
      </c>
      <c r="M737">
        <v>0</v>
      </c>
      <c r="N737">
        <v>0</v>
      </c>
      <c r="O737" t="s">
        <v>606</v>
      </c>
      <c r="R737" t="s">
        <v>603</v>
      </c>
      <c r="U737">
        <v>25</v>
      </c>
      <c r="V737">
        <v>25</v>
      </c>
      <c r="W737" t="s">
        <v>350</v>
      </c>
      <c r="X737" t="s">
        <v>349</v>
      </c>
      <c r="Y737" t="s">
        <v>348</v>
      </c>
      <c r="Z737">
        <v>2017</v>
      </c>
      <c r="AB737">
        <v>6</v>
      </c>
      <c r="AC737">
        <v>1.89</v>
      </c>
      <c r="AE737" t="s">
        <v>346</v>
      </c>
      <c r="AF737">
        <v>46.142674</v>
      </c>
      <c r="AG737">
        <v>-115.598088</v>
      </c>
      <c r="AH737">
        <v>14989021</v>
      </c>
    </row>
    <row r="738" spans="2:34">
      <c r="B738" t="s">
        <v>345</v>
      </c>
      <c r="C738" t="s">
        <v>985</v>
      </c>
      <c r="D738" s="3">
        <v>42973.688194444447</v>
      </c>
      <c r="F738">
        <v>2017</v>
      </c>
      <c r="G738" t="s">
        <v>480</v>
      </c>
      <c r="H738" t="s">
        <v>352</v>
      </c>
      <c r="J738">
        <v>0</v>
      </c>
      <c r="L738">
        <v>2</v>
      </c>
      <c r="M738">
        <v>0</v>
      </c>
      <c r="N738">
        <v>0</v>
      </c>
      <c r="O738" t="s">
        <v>643</v>
      </c>
      <c r="R738" t="s">
        <v>603</v>
      </c>
      <c r="U738">
        <v>25</v>
      </c>
      <c r="V738">
        <v>25</v>
      </c>
      <c r="W738" t="s">
        <v>350</v>
      </c>
      <c r="X738" t="s">
        <v>349</v>
      </c>
      <c r="Y738" t="s">
        <v>348</v>
      </c>
      <c r="Z738">
        <v>2017</v>
      </c>
      <c r="AB738">
        <v>6</v>
      </c>
      <c r="AC738">
        <v>1.89</v>
      </c>
      <c r="AE738" t="s">
        <v>346</v>
      </c>
      <c r="AF738">
        <v>46.142674</v>
      </c>
      <c r="AG738">
        <v>-115.598088</v>
      </c>
      <c r="AH738">
        <v>14989022</v>
      </c>
    </row>
    <row r="739" spans="2:34">
      <c r="B739" t="s">
        <v>345</v>
      </c>
      <c r="C739" t="s">
        <v>986</v>
      </c>
      <c r="D739" s="3">
        <v>43044.59375</v>
      </c>
      <c r="F739">
        <v>2017</v>
      </c>
      <c r="G739" t="s">
        <v>615</v>
      </c>
      <c r="H739" t="s">
        <v>352</v>
      </c>
      <c r="J739">
        <v>0</v>
      </c>
      <c r="L739">
        <v>1</v>
      </c>
      <c r="M739">
        <v>256</v>
      </c>
      <c r="N739">
        <v>125</v>
      </c>
      <c r="O739" t="s">
        <v>353</v>
      </c>
      <c r="R739" t="s">
        <v>603</v>
      </c>
      <c r="U739">
        <v>3.5</v>
      </c>
      <c r="V739">
        <v>3.5</v>
      </c>
      <c r="W739" t="s">
        <v>350</v>
      </c>
      <c r="X739" t="s">
        <v>349</v>
      </c>
      <c r="Y739" t="s">
        <v>348</v>
      </c>
      <c r="Z739">
        <v>2017</v>
      </c>
      <c r="AB739">
        <v>4</v>
      </c>
      <c r="AC739">
        <v>2.2200000000000002</v>
      </c>
      <c r="AE739" t="s">
        <v>346</v>
      </c>
      <c r="AF739">
        <v>46.142674</v>
      </c>
      <c r="AG739">
        <v>-115.598088</v>
      </c>
      <c r="AH739">
        <v>14922225</v>
      </c>
    </row>
    <row r="740" spans="2:34">
      <c r="B740" t="s">
        <v>345</v>
      </c>
      <c r="C740" t="s">
        <v>987</v>
      </c>
      <c r="D740" s="3">
        <v>42848.333333333336</v>
      </c>
      <c r="F740">
        <v>2017</v>
      </c>
      <c r="G740" t="s">
        <v>578</v>
      </c>
      <c r="H740" t="s">
        <v>352</v>
      </c>
      <c r="J740">
        <v>0</v>
      </c>
      <c r="L740">
        <v>1</v>
      </c>
      <c r="M740">
        <v>181</v>
      </c>
      <c r="N740">
        <v>52</v>
      </c>
      <c r="O740" t="s">
        <v>575</v>
      </c>
      <c r="Q740" t="s">
        <v>988</v>
      </c>
      <c r="R740" t="s">
        <v>989</v>
      </c>
      <c r="U740">
        <v>7</v>
      </c>
      <c r="V740">
        <v>6.5</v>
      </c>
      <c r="W740" t="s">
        <v>350</v>
      </c>
      <c r="X740" t="s">
        <v>349</v>
      </c>
      <c r="Y740" t="s">
        <v>580</v>
      </c>
      <c r="Z740">
        <v>2017</v>
      </c>
      <c r="AB740">
        <v>13</v>
      </c>
      <c r="AC740">
        <v>5.7</v>
      </c>
      <c r="AE740" t="s">
        <v>346</v>
      </c>
      <c r="AF740">
        <v>46.142674</v>
      </c>
      <c r="AG740">
        <v>-115.598088</v>
      </c>
      <c r="AH740">
        <v>15022829</v>
      </c>
    </row>
    <row r="741" spans="2:34">
      <c r="B741" t="s">
        <v>345</v>
      </c>
      <c r="C741" t="s">
        <v>987</v>
      </c>
      <c r="D741" s="3">
        <v>42848.333333333336</v>
      </c>
      <c r="F741">
        <v>2017</v>
      </c>
      <c r="G741" t="s">
        <v>578</v>
      </c>
      <c r="H741" t="s">
        <v>352</v>
      </c>
      <c r="J741">
        <v>0</v>
      </c>
      <c r="L741">
        <v>1</v>
      </c>
      <c r="M741">
        <v>188</v>
      </c>
      <c r="N741">
        <v>60</v>
      </c>
      <c r="O741" t="s">
        <v>575</v>
      </c>
      <c r="Q741" t="s">
        <v>990</v>
      </c>
      <c r="R741" t="s">
        <v>989</v>
      </c>
      <c r="U741">
        <v>7</v>
      </c>
      <c r="V741">
        <v>6.5</v>
      </c>
      <c r="W741" t="s">
        <v>350</v>
      </c>
      <c r="X741" t="s">
        <v>349</v>
      </c>
      <c r="Y741" t="s">
        <v>580</v>
      </c>
      <c r="Z741">
        <v>2017</v>
      </c>
      <c r="AB741">
        <v>13</v>
      </c>
      <c r="AC741">
        <v>5.7</v>
      </c>
      <c r="AE741" t="s">
        <v>346</v>
      </c>
      <c r="AF741">
        <v>46.142674</v>
      </c>
      <c r="AG741">
        <v>-115.598088</v>
      </c>
      <c r="AH741">
        <v>15022830</v>
      </c>
    </row>
    <row r="742" spans="2:34">
      <c r="B742" t="s">
        <v>345</v>
      </c>
      <c r="C742" t="s">
        <v>987</v>
      </c>
      <c r="D742" s="3">
        <v>42848.333333333336</v>
      </c>
      <c r="F742">
        <v>2017</v>
      </c>
      <c r="G742" t="s">
        <v>574</v>
      </c>
      <c r="H742" t="s">
        <v>352</v>
      </c>
      <c r="J742">
        <v>0</v>
      </c>
      <c r="L742">
        <v>1</v>
      </c>
      <c r="M742">
        <v>84</v>
      </c>
      <c r="N742">
        <v>6</v>
      </c>
      <c r="O742" t="s">
        <v>575</v>
      </c>
      <c r="Q742" t="s">
        <v>576</v>
      </c>
      <c r="R742" t="s">
        <v>989</v>
      </c>
      <c r="U742">
        <v>7</v>
      </c>
      <c r="V742">
        <v>6.5</v>
      </c>
      <c r="W742" t="s">
        <v>350</v>
      </c>
      <c r="X742" t="s">
        <v>349</v>
      </c>
      <c r="Y742" t="s">
        <v>580</v>
      </c>
      <c r="Z742">
        <v>2017</v>
      </c>
      <c r="AB742">
        <v>13</v>
      </c>
      <c r="AC742">
        <v>5.7</v>
      </c>
      <c r="AE742" t="s">
        <v>346</v>
      </c>
      <c r="AF742">
        <v>46.142674</v>
      </c>
      <c r="AG742">
        <v>-115.598088</v>
      </c>
      <c r="AH742">
        <v>15022831</v>
      </c>
    </row>
    <row r="743" spans="2:34">
      <c r="B743" t="s">
        <v>345</v>
      </c>
      <c r="C743" t="s">
        <v>987</v>
      </c>
      <c r="D743" s="3">
        <v>42848.333333333336</v>
      </c>
      <c r="F743">
        <v>2017</v>
      </c>
      <c r="G743" t="s">
        <v>578</v>
      </c>
      <c r="H743" t="s">
        <v>352</v>
      </c>
      <c r="J743">
        <v>0</v>
      </c>
      <c r="L743">
        <v>1</v>
      </c>
      <c r="M743">
        <v>178</v>
      </c>
      <c r="N743">
        <v>49</v>
      </c>
      <c r="O743" t="s">
        <v>575</v>
      </c>
      <c r="Q743" t="s">
        <v>991</v>
      </c>
      <c r="R743" t="s">
        <v>989</v>
      </c>
      <c r="U743">
        <v>7</v>
      </c>
      <c r="V743">
        <v>6.5</v>
      </c>
      <c r="W743" t="s">
        <v>350</v>
      </c>
      <c r="X743" t="s">
        <v>349</v>
      </c>
      <c r="Y743" t="s">
        <v>580</v>
      </c>
      <c r="Z743">
        <v>2017</v>
      </c>
      <c r="AB743">
        <v>13</v>
      </c>
      <c r="AC743">
        <v>5.7</v>
      </c>
      <c r="AE743" t="s">
        <v>346</v>
      </c>
      <c r="AF743">
        <v>46.142674</v>
      </c>
      <c r="AG743">
        <v>-115.598088</v>
      </c>
      <c r="AH743">
        <v>15022832</v>
      </c>
    </row>
    <row r="744" spans="2:34">
      <c r="B744" t="s">
        <v>345</v>
      </c>
      <c r="C744" t="s">
        <v>987</v>
      </c>
      <c r="D744" s="3">
        <v>42848.333333333336</v>
      </c>
      <c r="F744">
        <v>2017</v>
      </c>
      <c r="G744" t="s">
        <v>578</v>
      </c>
      <c r="H744" t="s">
        <v>352</v>
      </c>
      <c r="J744">
        <v>0</v>
      </c>
      <c r="L744">
        <v>1</v>
      </c>
      <c r="M744">
        <v>170</v>
      </c>
      <c r="N744">
        <v>41</v>
      </c>
      <c r="O744" t="s">
        <v>575</v>
      </c>
      <c r="Q744" t="s">
        <v>992</v>
      </c>
      <c r="R744" t="s">
        <v>989</v>
      </c>
      <c r="U744">
        <v>7</v>
      </c>
      <c r="V744">
        <v>6.5</v>
      </c>
      <c r="W744" t="s">
        <v>350</v>
      </c>
      <c r="X744" t="s">
        <v>349</v>
      </c>
      <c r="Y744" t="s">
        <v>580</v>
      </c>
      <c r="Z744">
        <v>2017</v>
      </c>
      <c r="AB744">
        <v>13</v>
      </c>
      <c r="AC744">
        <v>5.7</v>
      </c>
      <c r="AE744" t="s">
        <v>346</v>
      </c>
      <c r="AF744">
        <v>46.142674</v>
      </c>
      <c r="AG744">
        <v>-115.598088</v>
      </c>
      <c r="AH744">
        <v>15022833</v>
      </c>
    </row>
    <row r="745" spans="2:34">
      <c r="B745" t="s">
        <v>345</v>
      </c>
      <c r="C745" t="s">
        <v>987</v>
      </c>
      <c r="D745" s="3">
        <v>42848.333333333336</v>
      </c>
      <c r="F745">
        <v>2017</v>
      </c>
      <c r="G745" t="s">
        <v>578</v>
      </c>
      <c r="H745" t="s">
        <v>352</v>
      </c>
      <c r="J745">
        <v>0</v>
      </c>
      <c r="L745">
        <v>1</v>
      </c>
      <c r="M745">
        <v>150</v>
      </c>
      <c r="N745">
        <v>32</v>
      </c>
      <c r="O745" t="s">
        <v>575</v>
      </c>
      <c r="Q745" t="s">
        <v>993</v>
      </c>
      <c r="R745" t="s">
        <v>989</v>
      </c>
      <c r="U745">
        <v>7</v>
      </c>
      <c r="V745">
        <v>6.5</v>
      </c>
      <c r="W745" t="s">
        <v>350</v>
      </c>
      <c r="X745" t="s">
        <v>349</v>
      </c>
      <c r="Y745" t="s">
        <v>580</v>
      </c>
      <c r="Z745">
        <v>2017</v>
      </c>
      <c r="AB745">
        <v>13</v>
      </c>
      <c r="AC745">
        <v>5.7</v>
      </c>
      <c r="AE745" t="s">
        <v>346</v>
      </c>
      <c r="AF745">
        <v>46.142674</v>
      </c>
      <c r="AG745">
        <v>-115.598088</v>
      </c>
      <c r="AH745">
        <v>15022834</v>
      </c>
    </row>
    <row r="746" spans="2:34">
      <c r="B746" t="s">
        <v>345</v>
      </c>
      <c r="C746" t="s">
        <v>987</v>
      </c>
      <c r="D746" s="3">
        <v>42848.333333333336</v>
      </c>
      <c r="F746">
        <v>2017</v>
      </c>
      <c r="G746" t="s">
        <v>578</v>
      </c>
      <c r="H746" t="s">
        <v>352</v>
      </c>
      <c r="J746">
        <v>0</v>
      </c>
      <c r="L746">
        <v>1</v>
      </c>
      <c r="M746">
        <v>195</v>
      </c>
      <c r="N746">
        <v>65</v>
      </c>
      <c r="O746" t="s">
        <v>575</v>
      </c>
      <c r="Q746" t="s">
        <v>994</v>
      </c>
      <c r="R746" t="s">
        <v>989</v>
      </c>
      <c r="U746">
        <v>7</v>
      </c>
      <c r="V746">
        <v>6.5</v>
      </c>
      <c r="W746" t="s">
        <v>350</v>
      </c>
      <c r="X746" t="s">
        <v>349</v>
      </c>
      <c r="Y746" t="s">
        <v>580</v>
      </c>
      <c r="Z746">
        <v>2017</v>
      </c>
      <c r="AB746">
        <v>13</v>
      </c>
      <c r="AC746">
        <v>5.7</v>
      </c>
      <c r="AE746" t="s">
        <v>346</v>
      </c>
      <c r="AF746">
        <v>46.142674</v>
      </c>
      <c r="AG746">
        <v>-115.598088</v>
      </c>
      <c r="AH746">
        <v>15022835</v>
      </c>
    </row>
    <row r="747" spans="2:34">
      <c r="B747" t="s">
        <v>345</v>
      </c>
      <c r="C747" t="s">
        <v>987</v>
      </c>
      <c r="D747" s="3">
        <v>42848.333333333336</v>
      </c>
      <c r="F747">
        <v>2017</v>
      </c>
      <c r="G747" t="s">
        <v>578</v>
      </c>
      <c r="H747" t="s">
        <v>352</v>
      </c>
      <c r="J747">
        <v>0</v>
      </c>
      <c r="L747">
        <v>1</v>
      </c>
      <c r="M747">
        <v>174</v>
      </c>
      <c r="N747">
        <v>48</v>
      </c>
      <c r="O747" t="s">
        <v>575</v>
      </c>
      <c r="Q747" t="s">
        <v>995</v>
      </c>
      <c r="R747" t="s">
        <v>989</v>
      </c>
      <c r="U747">
        <v>7</v>
      </c>
      <c r="V747">
        <v>6.5</v>
      </c>
      <c r="W747" t="s">
        <v>350</v>
      </c>
      <c r="X747" t="s">
        <v>349</v>
      </c>
      <c r="Y747" t="s">
        <v>580</v>
      </c>
      <c r="Z747">
        <v>2017</v>
      </c>
      <c r="AB747">
        <v>13</v>
      </c>
      <c r="AC747">
        <v>5.7</v>
      </c>
      <c r="AE747" t="s">
        <v>346</v>
      </c>
      <c r="AF747">
        <v>46.142674</v>
      </c>
      <c r="AG747">
        <v>-115.598088</v>
      </c>
      <c r="AH747">
        <v>15022836</v>
      </c>
    </row>
    <row r="748" spans="2:34">
      <c r="B748" t="s">
        <v>345</v>
      </c>
      <c r="C748" t="s">
        <v>987</v>
      </c>
      <c r="D748" s="3">
        <v>42848.333333333336</v>
      </c>
      <c r="F748">
        <v>2017</v>
      </c>
      <c r="G748" t="s">
        <v>578</v>
      </c>
      <c r="H748" t="s">
        <v>352</v>
      </c>
      <c r="J748">
        <v>0</v>
      </c>
      <c r="L748">
        <v>1</v>
      </c>
      <c r="M748">
        <v>156</v>
      </c>
      <c r="N748">
        <v>33</v>
      </c>
      <c r="O748" t="s">
        <v>575</v>
      </c>
      <c r="Q748" t="s">
        <v>996</v>
      </c>
      <c r="R748" t="s">
        <v>989</v>
      </c>
      <c r="U748">
        <v>7</v>
      </c>
      <c r="V748">
        <v>6.5</v>
      </c>
      <c r="W748" t="s">
        <v>350</v>
      </c>
      <c r="X748" t="s">
        <v>349</v>
      </c>
      <c r="Y748" t="s">
        <v>580</v>
      </c>
      <c r="Z748">
        <v>2017</v>
      </c>
      <c r="AB748">
        <v>13</v>
      </c>
      <c r="AC748">
        <v>5.7</v>
      </c>
      <c r="AE748" t="s">
        <v>346</v>
      </c>
      <c r="AF748">
        <v>46.142674</v>
      </c>
      <c r="AG748">
        <v>-115.598088</v>
      </c>
      <c r="AH748">
        <v>15022837</v>
      </c>
    </row>
    <row r="749" spans="2:34">
      <c r="B749" t="s">
        <v>345</v>
      </c>
      <c r="C749" t="s">
        <v>987</v>
      </c>
      <c r="D749" s="3">
        <v>42848.333333333336</v>
      </c>
      <c r="F749">
        <v>2017</v>
      </c>
      <c r="G749" t="s">
        <v>578</v>
      </c>
      <c r="H749" t="s">
        <v>352</v>
      </c>
      <c r="J749">
        <v>0</v>
      </c>
      <c r="L749">
        <v>1</v>
      </c>
      <c r="M749">
        <v>168</v>
      </c>
      <c r="N749">
        <v>44</v>
      </c>
      <c r="O749" t="s">
        <v>634</v>
      </c>
      <c r="P749" t="s">
        <v>635</v>
      </c>
      <c r="Q749" t="s">
        <v>635</v>
      </c>
      <c r="R749" t="s">
        <v>989</v>
      </c>
      <c r="U749">
        <v>7</v>
      </c>
      <c r="V749">
        <v>6.5</v>
      </c>
      <c r="W749" t="s">
        <v>350</v>
      </c>
      <c r="X749" t="s">
        <v>349</v>
      </c>
      <c r="Y749" t="s">
        <v>580</v>
      </c>
      <c r="Z749">
        <v>2017</v>
      </c>
      <c r="AB749">
        <v>13</v>
      </c>
      <c r="AC749">
        <v>5.7</v>
      </c>
      <c r="AE749" t="s">
        <v>346</v>
      </c>
      <c r="AF749">
        <v>46.142674</v>
      </c>
      <c r="AG749">
        <v>-115.598088</v>
      </c>
      <c r="AH749">
        <v>15022838</v>
      </c>
    </row>
    <row r="750" spans="2:34">
      <c r="B750" t="s">
        <v>345</v>
      </c>
      <c r="C750" t="s">
        <v>987</v>
      </c>
      <c r="D750" s="3">
        <v>42848.333333333336</v>
      </c>
      <c r="F750">
        <v>2017</v>
      </c>
      <c r="G750" t="s">
        <v>578</v>
      </c>
      <c r="H750" t="s">
        <v>352</v>
      </c>
      <c r="J750">
        <v>0</v>
      </c>
      <c r="L750">
        <v>1</v>
      </c>
      <c r="M750">
        <v>196</v>
      </c>
      <c r="N750">
        <v>68</v>
      </c>
      <c r="O750" t="s">
        <v>575</v>
      </c>
      <c r="Q750" t="s">
        <v>997</v>
      </c>
      <c r="R750" t="s">
        <v>989</v>
      </c>
      <c r="U750">
        <v>7</v>
      </c>
      <c r="V750">
        <v>6.5</v>
      </c>
      <c r="W750" t="s">
        <v>350</v>
      </c>
      <c r="X750" t="s">
        <v>349</v>
      </c>
      <c r="Y750" t="s">
        <v>580</v>
      </c>
      <c r="Z750">
        <v>2017</v>
      </c>
      <c r="AB750">
        <v>13</v>
      </c>
      <c r="AC750">
        <v>5.7</v>
      </c>
      <c r="AE750" t="s">
        <v>346</v>
      </c>
      <c r="AF750">
        <v>46.142674</v>
      </c>
      <c r="AG750">
        <v>-115.598088</v>
      </c>
      <c r="AH750">
        <v>15022839</v>
      </c>
    </row>
    <row r="751" spans="2:34">
      <c r="B751" t="s">
        <v>345</v>
      </c>
      <c r="C751" t="s">
        <v>987</v>
      </c>
      <c r="D751" s="3">
        <v>42848.333333333336</v>
      </c>
      <c r="F751">
        <v>2017</v>
      </c>
      <c r="G751" t="s">
        <v>578</v>
      </c>
      <c r="H751" t="s">
        <v>352</v>
      </c>
      <c r="J751">
        <v>0</v>
      </c>
      <c r="L751">
        <v>1</v>
      </c>
      <c r="M751">
        <v>155</v>
      </c>
      <c r="N751">
        <v>30</v>
      </c>
      <c r="O751" t="s">
        <v>575</v>
      </c>
      <c r="Q751" t="s">
        <v>998</v>
      </c>
      <c r="R751" t="s">
        <v>989</v>
      </c>
      <c r="U751">
        <v>7</v>
      </c>
      <c r="V751">
        <v>6.5</v>
      </c>
      <c r="W751" t="s">
        <v>350</v>
      </c>
      <c r="X751" t="s">
        <v>349</v>
      </c>
      <c r="Y751" t="s">
        <v>580</v>
      </c>
      <c r="Z751">
        <v>2017</v>
      </c>
      <c r="AB751">
        <v>13</v>
      </c>
      <c r="AC751">
        <v>5.7</v>
      </c>
      <c r="AE751" t="s">
        <v>346</v>
      </c>
      <c r="AF751">
        <v>46.142674</v>
      </c>
      <c r="AG751">
        <v>-115.598088</v>
      </c>
      <c r="AH751">
        <v>15022840</v>
      </c>
    </row>
    <row r="752" spans="2:34">
      <c r="B752" t="s">
        <v>345</v>
      </c>
      <c r="C752" t="s">
        <v>987</v>
      </c>
      <c r="D752" s="3">
        <v>42848.333333333336</v>
      </c>
      <c r="F752">
        <v>2017</v>
      </c>
      <c r="G752" t="s">
        <v>578</v>
      </c>
      <c r="H752" t="s">
        <v>352</v>
      </c>
      <c r="J752">
        <v>0</v>
      </c>
      <c r="L752">
        <v>1</v>
      </c>
      <c r="M752">
        <v>173</v>
      </c>
      <c r="N752">
        <v>47</v>
      </c>
      <c r="O752" t="s">
        <v>575</v>
      </c>
      <c r="P752" t="s">
        <v>373</v>
      </c>
      <c r="Q752" t="s">
        <v>999</v>
      </c>
      <c r="R752" t="s">
        <v>989</v>
      </c>
      <c r="U752">
        <v>7</v>
      </c>
      <c r="V752">
        <v>6.5</v>
      </c>
      <c r="W752" t="s">
        <v>350</v>
      </c>
      <c r="X752" t="s">
        <v>349</v>
      </c>
      <c r="Y752" t="s">
        <v>580</v>
      </c>
      <c r="Z752">
        <v>2017</v>
      </c>
      <c r="AB752">
        <v>13</v>
      </c>
      <c r="AC752">
        <v>5.7</v>
      </c>
      <c r="AE752" t="s">
        <v>346</v>
      </c>
      <c r="AF752">
        <v>46.142674</v>
      </c>
      <c r="AG752">
        <v>-115.598088</v>
      </c>
      <c r="AH752">
        <v>15022841</v>
      </c>
    </row>
    <row r="753" spans="2:35">
      <c r="B753" t="s">
        <v>345</v>
      </c>
      <c r="C753" t="s">
        <v>987</v>
      </c>
      <c r="D753" s="3">
        <v>42848.333333333336</v>
      </c>
      <c r="F753">
        <v>2017</v>
      </c>
      <c r="G753" t="s">
        <v>578</v>
      </c>
      <c r="H753" t="s">
        <v>352</v>
      </c>
      <c r="J753">
        <v>0</v>
      </c>
      <c r="L753">
        <v>1</v>
      </c>
      <c r="M753">
        <v>176</v>
      </c>
      <c r="N753">
        <v>52</v>
      </c>
      <c r="O753" t="s">
        <v>575</v>
      </c>
      <c r="Q753" t="s">
        <v>1000</v>
      </c>
      <c r="R753" t="s">
        <v>989</v>
      </c>
      <c r="U753">
        <v>7</v>
      </c>
      <c r="V753">
        <v>6.5</v>
      </c>
      <c r="W753" t="s">
        <v>350</v>
      </c>
      <c r="X753" t="s">
        <v>349</v>
      </c>
      <c r="Y753" t="s">
        <v>580</v>
      </c>
      <c r="Z753">
        <v>2017</v>
      </c>
      <c r="AB753">
        <v>13</v>
      </c>
      <c r="AC753">
        <v>5.7</v>
      </c>
      <c r="AE753" t="s">
        <v>346</v>
      </c>
      <c r="AF753">
        <v>46.142674</v>
      </c>
      <c r="AG753">
        <v>-115.598088</v>
      </c>
      <c r="AH753">
        <v>15022842</v>
      </c>
    </row>
    <row r="754" spans="2:35">
      <c r="B754" t="s">
        <v>345</v>
      </c>
      <c r="C754" t="s">
        <v>987</v>
      </c>
      <c r="D754" s="3">
        <v>42848.333333333336</v>
      </c>
      <c r="F754">
        <v>2017</v>
      </c>
      <c r="G754" t="s">
        <v>578</v>
      </c>
      <c r="H754" t="s">
        <v>352</v>
      </c>
      <c r="J754">
        <v>0</v>
      </c>
      <c r="L754">
        <v>1</v>
      </c>
      <c r="M754">
        <v>176</v>
      </c>
      <c r="N754">
        <v>51</v>
      </c>
      <c r="O754" t="s">
        <v>575</v>
      </c>
      <c r="Q754" t="s">
        <v>1001</v>
      </c>
      <c r="R754" t="s">
        <v>989</v>
      </c>
      <c r="U754">
        <v>7</v>
      </c>
      <c r="V754">
        <v>6.5</v>
      </c>
      <c r="W754" t="s">
        <v>350</v>
      </c>
      <c r="X754" t="s">
        <v>349</v>
      </c>
      <c r="Y754" t="s">
        <v>580</v>
      </c>
      <c r="Z754">
        <v>2017</v>
      </c>
      <c r="AB754">
        <v>13</v>
      </c>
      <c r="AC754">
        <v>5.7</v>
      </c>
      <c r="AE754" t="s">
        <v>346</v>
      </c>
      <c r="AF754">
        <v>46.142674</v>
      </c>
      <c r="AG754">
        <v>-115.598088</v>
      </c>
      <c r="AH754">
        <v>15022843</v>
      </c>
    </row>
    <row r="755" spans="2:35">
      <c r="B755" t="s">
        <v>345</v>
      </c>
      <c r="C755" t="s">
        <v>1002</v>
      </c>
      <c r="D755" s="3">
        <v>43001.452777777777</v>
      </c>
      <c r="F755">
        <v>2017</v>
      </c>
      <c r="G755" t="s">
        <v>574</v>
      </c>
      <c r="H755" t="s">
        <v>352</v>
      </c>
      <c r="J755">
        <v>0</v>
      </c>
      <c r="L755">
        <v>1</v>
      </c>
      <c r="M755">
        <v>81</v>
      </c>
      <c r="N755">
        <v>6</v>
      </c>
      <c r="O755" t="s">
        <v>575</v>
      </c>
      <c r="Q755" t="s">
        <v>576</v>
      </c>
      <c r="R755" t="s">
        <v>603</v>
      </c>
      <c r="U755">
        <v>11</v>
      </c>
      <c r="V755">
        <v>11</v>
      </c>
      <c r="W755" t="s">
        <v>350</v>
      </c>
      <c r="X755" t="s">
        <v>349</v>
      </c>
      <c r="Y755" t="s">
        <v>348</v>
      </c>
      <c r="Z755">
        <v>2017</v>
      </c>
      <c r="AB755">
        <v>9</v>
      </c>
      <c r="AC755">
        <v>2.0099999999999998</v>
      </c>
      <c r="AE755" t="s">
        <v>346</v>
      </c>
      <c r="AF755">
        <v>46.142674</v>
      </c>
      <c r="AG755">
        <v>-115.598088</v>
      </c>
      <c r="AH755">
        <v>15036053</v>
      </c>
    </row>
    <row r="756" spans="2:35">
      <c r="B756" t="s">
        <v>345</v>
      </c>
      <c r="C756" t="s">
        <v>1002</v>
      </c>
      <c r="D756" s="3">
        <v>43001.452777777777</v>
      </c>
      <c r="F756">
        <v>2017</v>
      </c>
      <c r="G756" t="s">
        <v>574</v>
      </c>
      <c r="H756" t="s">
        <v>352</v>
      </c>
      <c r="J756">
        <v>0</v>
      </c>
      <c r="L756">
        <v>1</v>
      </c>
      <c r="M756">
        <v>79</v>
      </c>
      <c r="N756">
        <v>5</v>
      </c>
      <c r="O756" t="s">
        <v>575</v>
      </c>
      <c r="Q756" t="s">
        <v>576</v>
      </c>
      <c r="R756" t="s">
        <v>603</v>
      </c>
      <c r="U756">
        <v>11</v>
      </c>
      <c r="V756">
        <v>11</v>
      </c>
      <c r="W756" t="s">
        <v>350</v>
      </c>
      <c r="X756" t="s">
        <v>349</v>
      </c>
      <c r="Y756" t="s">
        <v>348</v>
      </c>
      <c r="Z756">
        <v>2017</v>
      </c>
      <c r="AB756">
        <v>9</v>
      </c>
      <c r="AC756">
        <v>2.0099999999999998</v>
      </c>
      <c r="AE756" t="s">
        <v>346</v>
      </c>
      <c r="AF756">
        <v>46.142674</v>
      </c>
      <c r="AG756">
        <v>-115.598088</v>
      </c>
      <c r="AH756">
        <v>15036054</v>
      </c>
    </row>
    <row r="757" spans="2:35">
      <c r="B757" t="s">
        <v>345</v>
      </c>
      <c r="C757" t="s">
        <v>1002</v>
      </c>
      <c r="D757" s="3">
        <v>43001.452777777777</v>
      </c>
      <c r="F757">
        <v>2017</v>
      </c>
      <c r="G757" t="s">
        <v>574</v>
      </c>
      <c r="H757" t="s">
        <v>352</v>
      </c>
      <c r="J757">
        <v>0</v>
      </c>
      <c r="L757">
        <v>1</v>
      </c>
      <c r="M757">
        <v>80</v>
      </c>
      <c r="N757">
        <v>6</v>
      </c>
      <c r="O757" t="s">
        <v>575</v>
      </c>
      <c r="Q757" t="s">
        <v>576</v>
      </c>
      <c r="R757" t="s">
        <v>603</v>
      </c>
      <c r="U757">
        <v>11</v>
      </c>
      <c r="V757">
        <v>11</v>
      </c>
      <c r="W757" t="s">
        <v>350</v>
      </c>
      <c r="X757" t="s">
        <v>349</v>
      </c>
      <c r="Y757" t="s">
        <v>348</v>
      </c>
      <c r="Z757">
        <v>2017</v>
      </c>
      <c r="AB757">
        <v>9</v>
      </c>
      <c r="AC757">
        <v>2.0099999999999998</v>
      </c>
      <c r="AE757" t="s">
        <v>346</v>
      </c>
      <c r="AF757">
        <v>46.142674</v>
      </c>
      <c r="AG757">
        <v>-115.598088</v>
      </c>
      <c r="AH757">
        <v>15036055</v>
      </c>
    </row>
    <row r="758" spans="2:35">
      <c r="B758" t="s">
        <v>345</v>
      </c>
      <c r="C758" t="s">
        <v>1002</v>
      </c>
      <c r="D758" s="3">
        <v>43001.452777777777</v>
      </c>
      <c r="F758">
        <v>2017</v>
      </c>
      <c r="G758" t="s">
        <v>482</v>
      </c>
      <c r="H758" t="s">
        <v>352</v>
      </c>
      <c r="J758">
        <v>0</v>
      </c>
      <c r="L758">
        <v>1</v>
      </c>
      <c r="M758">
        <v>202</v>
      </c>
      <c r="N758">
        <v>85</v>
      </c>
      <c r="O758" t="s">
        <v>353</v>
      </c>
      <c r="R758" t="s">
        <v>603</v>
      </c>
      <c r="U758">
        <v>11</v>
      </c>
      <c r="V758">
        <v>11</v>
      </c>
      <c r="W758" t="s">
        <v>350</v>
      </c>
      <c r="X758" t="s">
        <v>349</v>
      </c>
      <c r="Y758" t="s">
        <v>348</v>
      </c>
      <c r="Z758">
        <v>2017</v>
      </c>
      <c r="AB758">
        <v>9</v>
      </c>
      <c r="AC758">
        <v>2.0099999999999998</v>
      </c>
      <c r="AE758" t="s">
        <v>346</v>
      </c>
      <c r="AF758">
        <v>46.142674</v>
      </c>
      <c r="AG758">
        <v>-115.598088</v>
      </c>
      <c r="AH758">
        <v>15036056</v>
      </c>
    </row>
    <row r="759" spans="2:35">
      <c r="B759" t="s">
        <v>345</v>
      </c>
      <c r="C759" t="s">
        <v>1002</v>
      </c>
      <c r="D759" s="3">
        <v>43001.452777777777</v>
      </c>
      <c r="F759">
        <v>2017</v>
      </c>
      <c r="G759" t="s">
        <v>574</v>
      </c>
      <c r="H759" t="s">
        <v>352</v>
      </c>
      <c r="J759">
        <v>0</v>
      </c>
      <c r="L759">
        <v>1</v>
      </c>
      <c r="M759">
        <v>71</v>
      </c>
      <c r="N759">
        <v>4</v>
      </c>
      <c r="O759" t="s">
        <v>575</v>
      </c>
      <c r="Q759" t="s">
        <v>576</v>
      </c>
      <c r="R759" t="s">
        <v>603</v>
      </c>
      <c r="U759">
        <v>11</v>
      </c>
      <c r="V759">
        <v>11</v>
      </c>
      <c r="W759" t="s">
        <v>350</v>
      </c>
      <c r="X759" t="s">
        <v>349</v>
      </c>
      <c r="Y759" t="s">
        <v>348</v>
      </c>
      <c r="Z759">
        <v>2017</v>
      </c>
      <c r="AB759">
        <v>9</v>
      </c>
      <c r="AC759">
        <v>2.0099999999999998</v>
      </c>
      <c r="AE759" t="s">
        <v>346</v>
      </c>
      <c r="AF759">
        <v>46.142674</v>
      </c>
      <c r="AG759">
        <v>-115.598088</v>
      </c>
      <c r="AH759">
        <v>15036057</v>
      </c>
    </row>
    <row r="760" spans="2:35">
      <c r="B760" t="s">
        <v>345</v>
      </c>
      <c r="C760" t="s">
        <v>1002</v>
      </c>
      <c r="D760" s="3">
        <v>43001.452777777777</v>
      </c>
      <c r="F760">
        <v>2017</v>
      </c>
      <c r="G760" t="s">
        <v>480</v>
      </c>
      <c r="H760" t="s">
        <v>352</v>
      </c>
      <c r="J760">
        <v>0</v>
      </c>
      <c r="L760">
        <v>1</v>
      </c>
      <c r="M760">
        <v>370</v>
      </c>
      <c r="N760">
        <v>185</v>
      </c>
      <c r="O760" t="s">
        <v>353</v>
      </c>
      <c r="R760" t="s">
        <v>603</v>
      </c>
      <c r="U760">
        <v>11</v>
      </c>
      <c r="V760">
        <v>11</v>
      </c>
      <c r="W760" t="s">
        <v>350</v>
      </c>
      <c r="X760" t="s">
        <v>349</v>
      </c>
      <c r="Y760" t="s">
        <v>348</v>
      </c>
      <c r="Z760">
        <v>2017</v>
      </c>
      <c r="AB760">
        <v>9</v>
      </c>
      <c r="AC760">
        <v>2.0099999999999998</v>
      </c>
      <c r="AE760" t="s">
        <v>346</v>
      </c>
      <c r="AF760">
        <v>46.142674</v>
      </c>
      <c r="AG760">
        <v>-115.598088</v>
      </c>
      <c r="AH760">
        <v>15036058</v>
      </c>
    </row>
    <row r="761" spans="2:35">
      <c r="B761" t="s">
        <v>345</v>
      </c>
      <c r="C761" t="s">
        <v>1002</v>
      </c>
      <c r="D761" s="3">
        <v>43001.452777777777</v>
      </c>
      <c r="F761">
        <v>2017</v>
      </c>
      <c r="G761" t="s">
        <v>574</v>
      </c>
      <c r="H761" t="s">
        <v>352</v>
      </c>
      <c r="J761">
        <v>0</v>
      </c>
      <c r="L761">
        <v>1</v>
      </c>
      <c r="M761">
        <v>79</v>
      </c>
      <c r="N761">
        <v>6</v>
      </c>
      <c r="O761" t="s">
        <v>575</v>
      </c>
      <c r="Q761" t="s">
        <v>576</v>
      </c>
      <c r="R761" t="s">
        <v>603</v>
      </c>
      <c r="U761">
        <v>11</v>
      </c>
      <c r="V761">
        <v>11</v>
      </c>
      <c r="W761" t="s">
        <v>350</v>
      </c>
      <c r="X761" t="s">
        <v>349</v>
      </c>
      <c r="Y761" t="s">
        <v>348</v>
      </c>
      <c r="Z761">
        <v>2017</v>
      </c>
      <c r="AB761">
        <v>9</v>
      </c>
      <c r="AC761">
        <v>2.0099999999999998</v>
      </c>
      <c r="AE761" t="s">
        <v>346</v>
      </c>
      <c r="AF761">
        <v>46.142674</v>
      </c>
      <c r="AG761">
        <v>-115.598088</v>
      </c>
      <c r="AH761">
        <v>15036059</v>
      </c>
    </row>
    <row r="762" spans="2:35">
      <c r="B762" t="s">
        <v>345</v>
      </c>
      <c r="C762" t="s">
        <v>1002</v>
      </c>
      <c r="D762" s="3">
        <v>43001.452777777777</v>
      </c>
      <c r="F762">
        <v>2017</v>
      </c>
      <c r="G762" t="s">
        <v>611</v>
      </c>
      <c r="H762" t="s">
        <v>352</v>
      </c>
      <c r="J762">
        <v>0</v>
      </c>
      <c r="L762">
        <v>1</v>
      </c>
      <c r="M762">
        <v>66</v>
      </c>
      <c r="N762">
        <v>2</v>
      </c>
      <c r="O762" t="s">
        <v>353</v>
      </c>
      <c r="R762" t="s">
        <v>603</v>
      </c>
      <c r="U762">
        <v>11</v>
      </c>
      <c r="V762">
        <v>11</v>
      </c>
      <c r="W762" t="s">
        <v>350</v>
      </c>
      <c r="X762" t="s">
        <v>349</v>
      </c>
      <c r="Y762" t="s">
        <v>348</v>
      </c>
      <c r="Z762">
        <v>2017</v>
      </c>
      <c r="AB762">
        <v>9</v>
      </c>
      <c r="AC762">
        <v>2.0099999999999998</v>
      </c>
      <c r="AE762" t="s">
        <v>346</v>
      </c>
      <c r="AF762">
        <v>46.142674</v>
      </c>
      <c r="AG762">
        <v>-115.598088</v>
      </c>
      <c r="AH762">
        <v>15036060</v>
      </c>
    </row>
    <row r="763" spans="2:35">
      <c r="B763" t="s">
        <v>345</v>
      </c>
      <c r="C763" t="s">
        <v>1002</v>
      </c>
      <c r="D763" s="3">
        <v>43001.452777777777</v>
      </c>
      <c r="F763">
        <v>2017</v>
      </c>
      <c r="G763" t="s">
        <v>574</v>
      </c>
      <c r="H763" t="s">
        <v>352</v>
      </c>
      <c r="J763">
        <v>0</v>
      </c>
      <c r="L763">
        <v>1</v>
      </c>
      <c r="M763">
        <v>64</v>
      </c>
      <c r="N763">
        <v>3</v>
      </c>
      <c r="O763" t="s">
        <v>575</v>
      </c>
      <c r="Q763" t="s">
        <v>576</v>
      </c>
      <c r="R763" t="s">
        <v>603</v>
      </c>
      <c r="U763">
        <v>11</v>
      </c>
      <c r="V763">
        <v>11</v>
      </c>
      <c r="W763" t="s">
        <v>350</v>
      </c>
      <c r="X763" t="s">
        <v>349</v>
      </c>
      <c r="Y763" t="s">
        <v>348</v>
      </c>
      <c r="Z763">
        <v>2017</v>
      </c>
      <c r="AB763">
        <v>9</v>
      </c>
      <c r="AC763">
        <v>2.0099999999999998</v>
      </c>
      <c r="AE763" t="s">
        <v>346</v>
      </c>
      <c r="AF763">
        <v>46.142674</v>
      </c>
      <c r="AG763">
        <v>-115.598088</v>
      </c>
      <c r="AH763">
        <v>15036061</v>
      </c>
    </row>
    <row r="764" spans="2:35">
      <c r="B764" t="s">
        <v>345</v>
      </c>
      <c r="C764" t="s">
        <v>1002</v>
      </c>
      <c r="D764" s="3">
        <v>43001.452777777777</v>
      </c>
      <c r="F764">
        <v>2017</v>
      </c>
      <c r="G764" t="s">
        <v>578</v>
      </c>
      <c r="H764" t="s">
        <v>352</v>
      </c>
      <c r="J764">
        <v>0</v>
      </c>
      <c r="L764">
        <v>1</v>
      </c>
      <c r="M764">
        <v>142</v>
      </c>
      <c r="N764">
        <v>32</v>
      </c>
      <c r="O764" t="s">
        <v>575</v>
      </c>
      <c r="Q764" t="s">
        <v>1003</v>
      </c>
      <c r="R764" t="s">
        <v>603</v>
      </c>
      <c r="U764">
        <v>11</v>
      </c>
      <c r="V764">
        <v>11</v>
      </c>
      <c r="W764" t="s">
        <v>350</v>
      </c>
      <c r="X764" t="s">
        <v>349</v>
      </c>
      <c r="Y764" t="s">
        <v>348</v>
      </c>
      <c r="Z764">
        <v>2017</v>
      </c>
      <c r="AB764">
        <v>9</v>
      </c>
      <c r="AC764">
        <v>2.0099999999999998</v>
      </c>
      <c r="AE764" t="s">
        <v>346</v>
      </c>
      <c r="AF764">
        <v>46.142674</v>
      </c>
      <c r="AG764">
        <v>-115.598088</v>
      </c>
      <c r="AH764">
        <v>15036062</v>
      </c>
      <c r="AI764">
        <f>17-76564</f>
        <v>-76547</v>
      </c>
    </row>
    <row r="765" spans="2:35">
      <c r="B765" t="s">
        <v>345</v>
      </c>
      <c r="C765" t="s">
        <v>1002</v>
      </c>
      <c r="D765" s="3">
        <v>43001.452777777777</v>
      </c>
      <c r="F765">
        <v>2017</v>
      </c>
      <c r="G765" t="s">
        <v>578</v>
      </c>
      <c r="H765" t="s">
        <v>352</v>
      </c>
      <c r="J765">
        <v>0</v>
      </c>
      <c r="L765">
        <v>1</v>
      </c>
      <c r="M765">
        <v>132</v>
      </c>
      <c r="N765">
        <v>21</v>
      </c>
      <c r="O765" t="s">
        <v>575</v>
      </c>
      <c r="Q765" t="s">
        <v>1004</v>
      </c>
      <c r="R765" t="s">
        <v>603</v>
      </c>
      <c r="U765">
        <v>11</v>
      </c>
      <c r="V765">
        <v>11</v>
      </c>
      <c r="W765" t="s">
        <v>350</v>
      </c>
      <c r="X765" t="s">
        <v>349</v>
      </c>
      <c r="Y765" t="s">
        <v>348</v>
      </c>
      <c r="Z765">
        <v>2017</v>
      </c>
      <c r="AB765">
        <v>9</v>
      </c>
      <c r="AC765">
        <v>2.0099999999999998</v>
      </c>
      <c r="AE765" t="s">
        <v>346</v>
      </c>
      <c r="AF765">
        <v>46.142674</v>
      </c>
      <c r="AG765">
        <v>-115.598088</v>
      </c>
      <c r="AH765">
        <v>15036063</v>
      </c>
      <c r="AI765">
        <f>17-76563</f>
        <v>-76546</v>
      </c>
    </row>
    <row r="766" spans="2:35">
      <c r="B766" t="s">
        <v>345</v>
      </c>
      <c r="C766" t="s">
        <v>1002</v>
      </c>
      <c r="D766" s="3">
        <v>43001.452777777777</v>
      </c>
      <c r="F766">
        <v>2017</v>
      </c>
      <c r="G766" t="s">
        <v>574</v>
      </c>
      <c r="H766" t="s">
        <v>352</v>
      </c>
      <c r="J766">
        <v>0</v>
      </c>
      <c r="L766">
        <v>1</v>
      </c>
      <c r="M766">
        <v>81</v>
      </c>
      <c r="N766">
        <v>6</v>
      </c>
      <c r="O766" t="s">
        <v>575</v>
      </c>
      <c r="Q766" t="s">
        <v>576</v>
      </c>
      <c r="R766" t="s">
        <v>603</v>
      </c>
      <c r="U766">
        <v>11</v>
      </c>
      <c r="V766">
        <v>11</v>
      </c>
      <c r="W766" t="s">
        <v>350</v>
      </c>
      <c r="X766" t="s">
        <v>349</v>
      </c>
      <c r="Y766" t="s">
        <v>348</v>
      </c>
      <c r="Z766">
        <v>2017</v>
      </c>
      <c r="AB766">
        <v>9</v>
      </c>
      <c r="AC766">
        <v>2.0099999999999998</v>
      </c>
      <c r="AE766" t="s">
        <v>346</v>
      </c>
      <c r="AF766">
        <v>46.142674</v>
      </c>
      <c r="AG766">
        <v>-115.598088</v>
      </c>
      <c r="AH766">
        <v>15036064</v>
      </c>
    </row>
    <row r="767" spans="2:35">
      <c r="B767" t="s">
        <v>345</v>
      </c>
      <c r="C767" t="s">
        <v>1002</v>
      </c>
      <c r="D767" s="3">
        <v>43001.452777777777</v>
      </c>
      <c r="F767">
        <v>2017</v>
      </c>
      <c r="G767" t="s">
        <v>574</v>
      </c>
      <c r="H767" t="s">
        <v>352</v>
      </c>
      <c r="J767">
        <v>0</v>
      </c>
      <c r="L767">
        <v>1</v>
      </c>
      <c r="M767">
        <v>70</v>
      </c>
      <c r="N767">
        <v>4</v>
      </c>
      <c r="O767" t="s">
        <v>575</v>
      </c>
      <c r="Q767" t="s">
        <v>576</v>
      </c>
      <c r="R767" t="s">
        <v>603</v>
      </c>
      <c r="U767">
        <v>11</v>
      </c>
      <c r="V767">
        <v>11</v>
      </c>
      <c r="W767" t="s">
        <v>350</v>
      </c>
      <c r="X767" t="s">
        <v>349</v>
      </c>
      <c r="Y767" t="s">
        <v>348</v>
      </c>
      <c r="Z767">
        <v>2017</v>
      </c>
      <c r="AB767">
        <v>9</v>
      </c>
      <c r="AC767">
        <v>2.0099999999999998</v>
      </c>
      <c r="AE767" t="s">
        <v>346</v>
      </c>
      <c r="AF767">
        <v>46.142674</v>
      </c>
      <c r="AG767">
        <v>-115.598088</v>
      </c>
      <c r="AH767">
        <v>15036065</v>
      </c>
    </row>
    <row r="768" spans="2:35">
      <c r="B768" t="s">
        <v>345</v>
      </c>
      <c r="C768" t="s">
        <v>1002</v>
      </c>
      <c r="D768" s="3">
        <v>43001.452777777777</v>
      </c>
      <c r="F768">
        <v>2017</v>
      </c>
      <c r="G768" t="s">
        <v>605</v>
      </c>
      <c r="H768" t="s">
        <v>352</v>
      </c>
      <c r="J768">
        <v>0</v>
      </c>
      <c r="L768">
        <v>10</v>
      </c>
      <c r="M768">
        <v>0</v>
      </c>
      <c r="N768">
        <v>0</v>
      </c>
      <c r="O768" t="s">
        <v>606</v>
      </c>
      <c r="R768" t="s">
        <v>603</v>
      </c>
      <c r="U768">
        <v>11</v>
      </c>
      <c r="V768">
        <v>11</v>
      </c>
      <c r="W768" t="s">
        <v>350</v>
      </c>
      <c r="X768" t="s">
        <v>349</v>
      </c>
      <c r="Y768" t="s">
        <v>348</v>
      </c>
      <c r="Z768">
        <v>2017</v>
      </c>
      <c r="AB768">
        <v>9</v>
      </c>
      <c r="AC768">
        <v>2.0099999999999998</v>
      </c>
      <c r="AE768" t="s">
        <v>346</v>
      </c>
      <c r="AF768">
        <v>46.142674</v>
      </c>
      <c r="AG768">
        <v>-115.598088</v>
      </c>
      <c r="AH768">
        <v>15036066</v>
      </c>
    </row>
    <row r="769" spans="2:35">
      <c r="B769" t="s">
        <v>345</v>
      </c>
      <c r="C769" t="s">
        <v>1002</v>
      </c>
      <c r="D769" s="3">
        <v>43001.452777777777</v>
      </c>
      <c r="F769">
        <v>2017</v>
      </c>
      <c r="G769" t="s">
        <v>578</v>
      </c>
      <c r="H769" t="s">
        <v>352</v>
      </c>
      <c r="J769">
        <v>0</v>
      </c>
      <c r="L769">
        <v>1</v>
      </c>
      <c r="M769">
        <v>132</v>
      </c>
      <c r="N769">
        <v>24</v>
      </c>
      <c r="O769" t="s">
        <v>575</v>
      </c>
      <c r="Q769" t="s">
        <v>1005</v>
      </c>
      <c r="R769" t="s">
        <v>603</v>
      </c>
      <c r="U769">
        <v>11</v>
      </c>
      <c r="V769">
        <v>11</v>
      </c>
      <c r="W769" t="s">
        <v>350</v>
      </c>
      <c r="X769" t="s">
        <v>349</v>
      </c>
      <c r="Y769" t="s">
        <v>348</v>
      </c>
      <c r="Z769">
        <v>2017</v>
      </c>
      <c r="AB769">
        <v>9</v>
      </c>
      <c r="AC769">
        <v>2.0099999999999998</v>
      </c>
      <c r="AE769" t="s">
        <v>346</v>
      </c>
      <c r="AF769">
        <v>46.142674</v>
      </c>
      <c r="AG769">
        <v>-115.598088</v>
      </c>
      <c r="AH769">
        <v>15036067</v>
      </c>
      <c r="AI769">
        <f>17-76565</f>
        <v>-76548</v>
      </c>
    </row>
    <row r="770" spans="2:35">
      <c r="B770" t="s">
        <v>345</v>
      </c>
      <c r="C770" t="s">
        <v>1002</v>
      </c>
      <c r="D770" s="3">
        <v>43001.452777777777</v>
      </c>
      <c r="F770">
        <v>2017</v>
      </c>
      <c r="G770" t="s">
        <v>574</v>
      </c>
      <c r="H770" t="s">
        <v>352</v>
      </c>
      <c r="J770">
        <v>0</v>
      </c>
      <c r="L770">
        <v>1</v>
      </c>
      <c r="M770">
        <v>76</v>
      </c>
      <c r="N770">
        <v>4</v>
      </c>
      <c r="O770" t="s">
        <v>575</v>
      </c>
      <c r="Q770" t="s">
        <v>576</v>
      </c>
      <c r="R770" t="s">
        <v>603</v>
      </c>
      <c r="U770">
        <v>11</v>
      </c>
      <c r="V770">
        <v>11</v>
      </c>
      <c r="W770" t="s">
        <v>350</v>
      </c>
      <c r="X770" t="s">
        <v>349</v>
      </c>
      <c r="Y770" t="s">
        <v>348</v>
      </c>
      <c r="Z770">
        <v>2017</v>
      </c>
      <c r="AB770">
        <v>9</v>
      </c>
      <c r="AC770">
        <v>2.0099999999999998</v>
      </c>
      <c r="AE770" t="s">
        <v>346</v>
      </c>
      <c r="AF770">
        <v>46.142674</v>
      </c>
      <c r="AG770">
        <v>-115.598088</v>
      </c>
      <c r="AH770">
        <v>15036068</v>
      </c>
    </row>
    <row r="771" spans="2:35">
      <c r="B771" t="s">
        <v>345</v>
      </c>
      <c r="C771" t="s">
        <v>1006</v>
      </c>
      <c r="D771" s="3">
        <v>43024.519444444442</v>
      </c>
      <c r="F771">
        <v>2017</v>
      </c>
      <c r="G771" t="s">
        <v>574</v>
      </c>
      <c r="H771" t="s">
        <v>352</v>
      </c>
      <c r="J771">
        <v>0</v>
      </c>
      <c r="L771">
        <v>1</v>
      </c>
      <c r="M771">
        <v>73</v>
      </c>
      <c r="N771">
        <v>0</v>
      </c>
      <c r="O771" t="s">
        <v>575</v>
      </c>
      <c r="Q771" t="s">
        <v>576</v>
      </c>
      <c r="U771">
        <v>9</v>
      </c>
      <c r="V771">
        <v>9</v>
      </c>
      <c r="W771" t="s">
        <v>350</v>
      </c>
      <c r="X771" t="s">
        <v>349</v>
      </c>
      <c r="Y771" t="s">
        <v>1007</v>
      </c>
      <c r="Z771">
        <v>2017</v>
      </c>
      <c r="AB771">
        <v>4</v>
      </c>
      <c r="AC771">
        <v>1.97</v>
      </c>
      <c r="AE771" t="s">
        <v>346</v>
      </c>
      <c r="AF771">
        <v>46.142674</v>
      </c>
      <c r="AG771">
        <v>-115.598088</v>
      </c>
      <c r="AH771">
        <v>15036187</v>
      </c>
    </row>
    <row r="772" spans="2:35">
      <c r="B772" t="s">
        <v>345</v>
      </c>
      <c r="C772" t="s">
        <v>1006</v>
      </c>
      <c r="D772" s="3">
        <v>43024.519444444442</v>
      </c>
      <c r="F772">
        <v>2017</v>
      </c>
      <c r="G772" t="s">
        <v>574</v>
      </c>
      <c r="H772" t="s">
        <v>352</v>
      </c>
      <c r="J772">
        <v>0</v>
      </c>
      <c r="L772">
        <v>1</v>
      </c>
      <c r="M772">
        <v>73</v>
      </c>
      <c r="N772">
        <v>0</v>
      </c>
      <c r="O772" t="s">
        <v>575</v>
      </c>
      <c r="Q772" t="s">
        <v>576</v>
      </c>
      <c r="U772">
        <v>9</v>
      </c>
      <c r="V772">
        <v>9</v>
      </c>
      <c r="W772" t="s">
        <v>350</v>
      </c>
      <c r="X772" t="s">
        <v>349</v>
      </c>
      <c r="Y772" t="s">
        <v>1007</v>
      </c>
      <c r="Z772">
        <v>2017</v>
      </c>
      <c r="AB772">
        <v>4</v>
      </c>
      <c r="AC772">
        <v>1.97</v>
      </c>
      <c r="AE772" t="s">
        <v>346</v>
      </c>
      <c r="AF772">
        <v>46.142674</v>
      </c>
      <c r="AG772">
        <v>-115.598088</v>
      </c>
      <c r="AH772">
        <v>15036188</v>
      </c>
    </row>
    <row r="773" spans="2:35">
      <c r="B773" t="s">
        <v>345</v>
      </c>
      <c r="C773" t="s">
        <v>858</v>
      </c>
      <c r="D773" s="3">
        <v>42861.305555555555</v>
      </c>
      <c r="F773">
        <v>2017</v>
      </c>
      <c r="G773" t="s">
        <v>578</v>
      </c>
      <c r="H773" t="s">
        <v>352</v>
      </c>
      <c r="J773">
        <v>0</v>
      </c>
      <c r="L773">
        <v>1</v>
      </c>
      <c r="M773">
        <v>180</v>
      </c>
      <c r="N773">
        <v>50</v>
      </c>
      <c r="O773" t="s">
        <v>575</v>
      </c>
      <c r="Q773" t="s">
        <v>576</v>
      </c>
      <c r="R773" t="s">
        <v>859</v>
      </c>
      <c r="U773">
        <v>7</v>
      </c>
      <c r="V773">
        <v>7</v>
      </c>
      <c r="W773" t="s">
        <v>350</v>
      </c>
      <c r="X773" t="s">
        <v>349</v>
      </c>
      <c r="Y773" t="s">
        <v>580</v>
      </c>
      <c r="Z773">
        <v>2017</v>
      </c>
      <c r="AB773">
        <v>13</v>
      </c>
      <c r="AC773">
        <v>8.0500000000000007</v>
      </c>
      <c r="AE773" t="s">
        <v>346</v>
      </c>
      <c r="AF773">
        <v>46.142674</v>
      </c>
      <c r="AG773">
        <v>-115.598088</v>
      </c>
      <c r="AH773">
        <v>14690075</v>
      </c>
    </row>
    <row r="774" spans="2:35">
      <c r="B774" t="s">
        <v>345</v>
      </c>
      <c r="C774" t="s">
        <v>858</v>
      </c>
      <c r="D774" s="3">
        <v>42861.305555555555</v>
      </c>
      <c r="F774">
        <v>2017</v>
      </c>
      <c r="G774" t="s">
        <v>578</v>
      </c>
      <c r="H774" t="s">
        <v>352</v>
      </c>
      <c r="J774">
        <v>0</v>
      </c>
      <c r="L774">
        <v>1</v>
      </c>
      <c r="M774">
        <v>183</v>
      </c>
      <c r="N774">
        <v>61</v>
      </c>
      <c r="O774" t="s">
        <v>575</v>
      </c>
      <c r="Q774" t="s">
        <v>576</v>
      </c>
      <c r="R774" t="s">
        <v>859</v>
      </c>
      <c r="U774">
        <v>7</v>
      </c>
      <c r="V774">
        <v>7</v>
      </c>
      <c r="W774" t="s">
        <v>350</v>
      </c>
      <c r="X774" t="s">
        <v>349</v>
      </c>
      <c r="Y774" t="s">
        <v>580</v>
      </c>
      <c r="Z774">
        <v>2017</v>
      </c>
      <c r="AB774">
        <v>13</v>
      </c>
      <c r="AC774">
        <v>8.0500000000000007</v>
      </c>
      <c r="AE774" t="s">
        <v>346</v>
      </c>
      <c r="AF774">
        <v>46.142674</v>
      </c>
      <c r="AG774">
        <v>-115.598088</v>
      </c>
      <c r="AH774">
        <v>14690076</v>
      </c>
    </row>
    <row r="775" spans="2:35">
      <c r="B775" t="s">
        <v>345</v>
      </c>
      <c r="C775" t="s">
        <v>858</v>
      </c>
      <c r="D775" s="3">
        <v>42861.305555555555</v>
      </c>
      <c r="F775">
        <v>2017</v>
      </c>
      <c r="G775" t="s">
        <v>578</v>
      </c>
      <c r="H775" t="s">
        <v>352</v>
      </c>
      <c r="J775">
        <v>0</v>
      </c>
      <c r="L775">
        <v>1</v>
      </c>
      <c r="M775">
        <v>150</v>
      </c>
      <c r="N775">
        <v>32</v>
      </c>
      <c r="O775" t="s">
        <v>575</v>
      </c>
      <c r="Q775" t="s">
        <v>576</v>
      </c>
      <c r="R775" t="s">
        <v>859</v>
      </c>
      <c r="U775">
        <v>7</v>
      </c>
      <c r="V775">
        <v>7</v>
      </c>
      <c r="W775" t="s">
        <v>350</v>
      </c>
      <c r="X775" t="s">
        <v>349</v>
      </c>
      <c r="Y775" t="s">
        <v>580</v>
      </c>
      <c r="Z775">
        <v>2017</v>
      </c>
      <c r="AB775">
        <v>13</v>
      </c>
      <c r="AC775">
        <v>8.0500000000000007</v>
      </c>
      <c r="AE775" t="s">
        <v>346</v>
      </c>
      <c r="AF775">
        <v>46.142674</v>
      </c>
      <c r="AG775">
        <v>-115.598088</v>
      </c>
      <c r="AH775">
        <v>14690077</v>
      </c>
    </row>
    <row r="776" spans="2:35">
      <c r="B776" t="s">
        <v>345</v>
      </c>
      <c r="C776" t="s">
        <v>1008</v>
      </c>
      <c r="D776" s="3">
        <v>42815.366666666669</v>
      </c>
      <c r="F776">
        <v>2017</v>
      </c>
      <c r="G776" t="s">
        <v>605</v>
      </c>
      <c r="H776" t="s">
        <v>352</v>
      </c>
      <c r="J776">
        <v>0</v>
      </c>
      <c r="L776">
        <v>1</v>
      </c>
      <c r="M776">
        <v>34</v>
      </c>
      <c r="N776">
        <v>0</v>
      </c>
      <c r="O776" t="s">
        <v>353</v>
      </c>
      <c r="U776">
        <v>25</v>
      </c>
      <c r="V776">
        <v>25</v>
      </c>
      <c r="W776" t="s">
        <v>350</v>
      </c>
      <c r="X776" t="s">
        <v>349</v>
      </c>
      <c r="Y776" t="s">
        <v>580</v>
      </c>
      <c r="Z776">
        <v>2017</v>
      </c>
      <c r="AB776">
        <v>8</v>
      </c>
      <c r="AC776">
        <v>7.17</v>
      </c>
      <c r="AE776" t="s">
        <v>346</v>
      </c>
      <c r="AF776">
        <v>46.142674</v>
      </c>
      <c r="AG776">
        <v>-115.598088</v>
      </c>
      <c r="AH776">
        <v>14916975</v>
      </c>
    </row>
    <row r="777" spans="2:35">
      <c r="B777" t="s">
        <v>345</v>
      </c>
      <c r="C777" t="s">
        <v>1008</v>
      </c>
      <c r="D777" s="3">
        <v>42815.366666666669</v>
      </c>
      <c r="F777">
        <v>2017</v>
      </c>
      <c r="G777" t="s">
        <v>605</v>
      </c>
      <c r="H777" t="s">
        <v>352</v>
      </c>
      <c r="J777">
        <v>0</v>
      </c>
      <c r="L777">
        <v>1</v>
      </c>
      <c r="M777">
        <v>41</v>
      </c>
      <c r="N777">
        <v>0</v>
      </c>
      <c r="O777" t="s">
        <v>353</v>
      </c>
      <c r="U777">
        <v>25</v>
      </c>
      <c r="V777">
        <v>25</v>
      </c>
      <c r="W777" t="s">
        <v>350</v>
      </c>
      <c r="X777" t="s">
        <v>349</v>
      </c>
      <c r="Y777" t="s">
        <v>580</v>
      </c>
      <c r="Z777">
        <v>2017</v>
      </c>
      <c r="AB777">
        <v>8</v>
      </c>
      <c r="AC777">
        <v>7.17</v>
      </c>
      <c r="AE777" t="s">
        <v>346</v>
      </c>
      <c r="AF777">
        <v>46.142674</v>
      </c>
      <c r="AG777">
        <v>-115.598088</v>
      </c>
      <c r="AH777">
        <v>14916976</v>
      </c>
    </row>
    <row r="778" spans="2:35">
      <c r="B778" t="s">
        <v>345</v>
      </c>
      <c r="C778" t="s">
        <v>1008</v>
      </c>
      <c r="D778" s="3">
        <v>42815.366666666669</v>
      </c>
      <c r="F778">
        <v>2017</v>
      </c>
      <c r="G778" t="s">
        <v>482</v>
      </c>
      <c r="H778" t="s">
        <v>352</v>
      </c>
      <c r="J778">
        <v>0</v>
      </c>
      <c r="L778">
        <v>1</v>
      </c>
      <c r="M778">
        <v>74</v>
      </c>
      <c r="N778">
        <v>3</v>
      </c>
      <c r="O778" t="s">
        <v>353</v>
      </c>
      <c r="U778">
        <v>25</v>
      </c>
      <c r="V778">
        <v>25</v>
      </c>
      <c r="W778" t="s">
        <v>350</v>
      </c>
      <c r="X778" t="s">
        <v>349</v>
      </c>
      <c r="Y778" t="s">
        <v>580</v>
      </c>
      <c r="Z778">
        <v>2017</v>
      </c>
      <c r="AB778">
        <v>8</v>
      </c>
      <c r="AC778">
        <v>7.17</v>
      </c>
      <c r="AE778" t="s">
        <v>346</v>
      </c>
      <c r="AF778">
        <v>46.142674</v>
      </c>
      <c r="AG778">
        <v>-115.598088</v>
      </c>
      <c r="AH778">
        <v>14916977</v>
      </c>
    </row>
    <row r="779" spans="2:35">
      <c r="B779" t="s">
        <v>345</v>
      </c>
      <c r="C779" t="s">
        <v>1009</v>
      </c>
      <c r="D779" s="3">
        <v>42944.657638888886</v>
      </c>
      <c r="F779">
        <v>2017</v>
      </c>
      <c r="G779" t="s">
        <v>611</v>
      </c>
      <c r="H779" t="s">
        <v>352</v>
      </c>
      <c r="J779">
        <v>0</v>
      </c>
      <c r="L779">
        <v>1</v>
      </c>
      <c r="M779">
        <v>0</v>
      </c>
      <c r="N779">
        <v>0</v>
      </c>
      <c r="O779" t="s">
        <v>643</v>
      </c>
      <c r="R779" t="s">
        <v>1010</v>
      </c>
      <c r="U779">
        <v>25</v>
      </c>
      <c r="V779">
        <v>25</v>
      </c>
      <c r="W779" t="s">
        <v>350</v>
      </c>
      <c r="X779" t="s">
        <v>349</v>
      </c>
      <c r="Y779" t="s">
        <v>348</v>
      </c>
      <c r="Z779">
        <v>2017</v>
      </c>
      <c r="AB779">
        <v>5</v>
      </c>
      <c r="AC779">
        <v>2.31</v>
      </c>
      <c r="AE779" t="s">
        <v>346</v>
      </c>
      <c r="AF779">
        <v>46.142674</v>
      </c>
      <c r="AG779">
        <v>-115.598088</v>
      </c>
      <c r="AH779">
        <v>14968190</v>
      </c>
    </row>
    <row r="780" spans="2:35">
      <c r="B780" t="s">
        <v>345</v>
      </c>
      <c r="C780" t="s">
        <v>1009</v>
      </c>
      <c r="D780" s="3">
        <v>42944.657638888886</v>
      </c>
      <c r="F780">
        <v>2017</v>
      </c>
      <c r="G780" t="s">
        <v>743</v>
      </c>
      <c r="H780" t="s">
        <v>352</v>
      </c>
      <c r="J780">
        <v>0</v>
      </c>
      <c r="L780">
        <v>1</v>
      </c>
      <c r="M780">
        <v>0</v>
      </c>
      <c r="N780">
        <v>0</v>
      </c>
      <c r="O780" t="s">
        <v>643</v>
      </c>
      <c r="R780" t="s">
        <v>1010</v>
      </c>
      <c r="U780">
        <v>25</v>
      </c>
      <c r="V780">
        <v>25</v>
      </c>
      <c r="W780" t="s">
        <v>350</v>
      </c>
      <c r="X780" t="s">
        <v>349</v>
      </c>
      <c r="Y780" t="s">
        <v>348</v>
      </c>
      <c r="Z780">
        <v>2017</v>
      </c>
      <c r="AB780">
        <v>5</v>
      </c>
      <c r="AC780">
        <v>2.31</v>
      </c>
      <c r="AE780" t="s">
        <v>346</v>
      </c>
      <c r="AF780">
        <v>46.142674</v>
      </c>
      <c r="AG780">
        <v>-115.598088</v>
      </c>
      <c r="AH780">
        <v>14968191</v>
      </c>
    </row>
    <row r="781" spans="2:35">
      <c r="B781" t="s">
        <v>345</v>
      </c>
      <c r="C781" t="s">
        <v>1009</v>
      </c>
      <c r="D781" s="3">
        <v>42944.657638888886</v>
      </c>
      <c r="F781">
        <v>2017</v>
      </c>
      <c r="G781" t="s">
        <v>605</v>
      </c>
      <c r="H781" t="s">
        <v>352</v>
      </c>
      <c r="J781">
        <v>0</v>
      </c>
      <c r="L781">
        <v>1</v>
      </c>
      <c r="M781">
        <v>0</v>
      </c>
      <c r="N781">
        <v>0</v>
      </c>
      <c r="O781" t="s">
        <v>643</v>
      </c>
      <c r="R781" t="s">
        <v>1010</v>
      </c>
      <c r="U781">
        <v>25</v>
      </c>
      <c r="V781">
        <v>25</v>
      </c>
      <c r="W781" t="s">
        <v>350</v>
      </c>
      <c r="X781" t="s">
        <v>349</v>
      </c>
      <c r="Y781" t="s">
        <v>348</v>
      </c>
      <c r="Z781">
        <v>2017</v>
      </c>
      <c r="AB781">
        <v>5</v>
      </c>
      <c r="AC781">
        <v>2.31</v>
      </c>
      <c r="AE781" t="s">
        <v>346</v>
      </c>
      <c r="AF781">
        <v>46.142674</v>
      </c>
      <c r="AG781">
        <v>-115.598088</v>
      </c>
      <c r="AH781">
        <v>14968192</v>
      </c>
    </row>
    <row r="782" spans="2:35">
      <c r="B782" t="s">
        <v>345</v>
      </c>
      <c r="C782" t="s">
        <v>1011</v>
      </c>
      <c r="D782" s="3">
        <v>42875.390972222223</v>
      </c>
      <c r="F782">
        <v>2017</v>
      </c>
      <c r="G782" t="s">
        <v>605</v>
      </c>
      <c r="H782" t="s">
        <v>352</v>
      </c>
      <c r="J782">
        <v>0</v>
      </c>
      <c r="L782">
        <v>1</v>
      </c>
      <c r="M782">
        <v>118</v>
      </c>
      <c r="N782">
        <v>19</v>
      </c>
      <c r="O782" t="s">
        <v>353</v>
      </c>
      <c r="R782" t="s">
        <v>1012</v>
      </c>
      <c r="U782">
        <v>8</v>
      </c>
      <c r="V782">
        <v>8</v>
      </c>
      <c r="W782" t="s">
        <v>350</v>
      </c>
      <c r="X782" t="s">
        <v>349</v>
      </c>
      <c r="Y782" t="s">
        <v>580</v>
      </c>
      <c r="Z782">
        <v>2017</v>
      </c>
      <c r="AB782">
        <v>13</v>
      </c>
      <c r="AC782">
        <v>6.1</v>
      </c>
      <c r="AE782" t="s">
        <v>346</v>
      </c>
      <c r="AF782">
        <v>46.142674</v>
      </c>
      <c r="AG782">
        <v>-115.598088</v>
      </c>
      <c r="AH782">
        <v>15007921</v>
      </c>
    </row>
    <row r="783" spans="2:35">
      <c r="B783" t="s">
        <v>345</v>
      </c>
      <c r="C783" t="s">
        <v>1011</v>
      </c>
      <c r="D783" s="3">
        <v>42875.390972222223</v>
      </c>
      <c r="F783">
        <v>2017</v>
      </c>
      <c r="G783" t="s">
        <v>578</v>
      </c>
      <c r="H783" t="s">
        <v>352</v>
      </c>
      <c r="J783">
        <v>0</v>
      </c>
      <c r="L783">
        <v>1</v>
      </c>
      <c r="M783">
        <v>150</v>
      </c>
      <c r="N783">
        <v>30</v>
      </c>
      <c r="O783" t="s">
        <v>575</v>
      </c>
      <c r="Q783" t="s">
        <v>1013</v>
      </c>
      <c r="R783" t="s">
        <v>1012</v>
      </c>
      <c r="U783">
        <v>8</v>
      </c>
      <c r="V783">
        <v>8</v>
      </c>
      <c r="W783" t="s">
        <v>350</v>
      </c>
      <c r="X783" t="s">
        <v>349</v>
      </c>
      <c r="Y783" t="s">
        <v>580</v>
      </c>
      <c r="Z783">
        <v>2017</v>
      </c>
      <c r="AB783">
        <v>13</v>
      </c>
      <c r="AC783">
        <v>6.1</v>
      </c>
      <c r="AE783" t="s">
        <v>346</v>
      </c>
      <c r="AF783">
        <v>46.142674</v>
      </c>
      <c r="AG783">
        <v>-115.598088</v>
      </c>
      <c r="AH783">
        <v>15007922</v>
      </c>
    </row>
    <row r="784" spans="2:35">
      <c r="B784" t="s">
        <v>345</v>
      </c>
      <c r="C784" t="s">
        <v>1014</v>
      </c>
      <c r="D784" s="3">
        <v>42925.333333333336</v>
      </c>
      <c r="F784">
        <v>2017</v>
      </c>
      <c r="G784" t="s">
        <v>602</v>
      </c>
      <c r="H784" t="s">
        <v>352</v>
      </c>
      <c r="J784">
        <v>0</v>
      </c>
      <c r="L784">
        <v>2</v>
      </c>
      <c r="M784">
        <v>0</v>
      </c>
      <c r="N784">
        <v>0</v>
      </c>
      <c r="O784" t="s">
        <v>353</v>
      </c>
      <c r="U784">
        <v>25</v>
      </c>
      <c r="V784">
        <v>19</v>
      </c>
      <c r="W784" t="s">
        <v>350</v>
      </c>
      <c r="X784" t="s">
        <v>349</v>
      </c>
      <c r="Y784" t="s">
        <v>642</v>
      </c>
      <c r="Z784">
        <v>2017</v>
      </c>
      <c r="AB784">
        <v>12</v>
      </c>
      <c r="AC784">
        <v>3.16</v>
      </c>
      <c r="AE784" t="s">
        <v>346</v>
      </c>
      <c r="AF784">
        <v>46.142674</v>
      </c>
      <c r="AG784">
        <v>-115.598088</v>
      </c>
      <c r="AH784">
        <v>15056887</v>
      </c>
    </row>
    <row r="785" spans="2:35">
      <c r="B785" t="s">
        <v>345</v>
      </c>
      <c r="C785" t="s">
        <v>1014</v>
      </c>
      <c r="D785" s="3">
        <v>42925.333333333336</v>
      </c>
      <c r="F785">
        <v>2017</v>
      </c>
      <c r="G785" t="s">
        <v>743</v>
      </c>
      <c r="H785" t="s">
        <v>352</v>
      </c>
      <c r="J785">
        <v>0</v>
      </c>
      <c r="L785">
        <v>1</v>
      </c>
      <c r="M785">
        <v>0</v>
      </c>
      <c r="N785">
        <v>0</v>
      </c>
      <c r="O785" t="s">
        <v>643</v>
      </c>
      <c r="U785">
        <v>25</v>
      </c>
      <c r="V785">
        <v>19</v>
      </c>
      <c r="W785" t="s">
        <v>350</v>
      </c>
      <c r="X785" t="s">
        <v>349</v>
      </c>
      <c r="Y785" t="s">
        <v>642</v>
      </c>
      <c r="Z785">
        <v>2017</v>
      </c>
      <c r="AB785">
        <v>12</v>
      </c>
      <c r="AC785">
        <v>3.16</v>
      </c>
      <c r="AE785" t="s">
        <v>346</v>
      </c>
      <c r="AF785">
        <v>46.142674</v>
      </c>
      <c r="AG785">
        <v>-115.598088</v>
      </c>
      <c r="AH785">
        <v>15056888</v>
      </c>
    </row>
    <row r="786" spans="2:35">
      <c r="B786" t="s">
        <v>345</v>
      </c>
      <c r="C786" t="s">
        <v>1014</v>
      </c>
      <c r="D786" s="3">
        <v>42925.333333333336</v>
      </c>
      <c r="F786">
        <v>2017</v>
      </c>
      <c r="G786" t="s">
        <v>743</v>
      </c>
      <c r="H786" t="s">
        <v>352</v>
      </c>
      <c r="J786">
        <v>0</v>
      </c>
      <c r="L786">
        <v>4</v>
      </c>
      <c r="M786">
        <v>0</v>
      </c>
      <c r="N786">
        <v>0</v>
      </c>
      <c r="O786" t="s">
        <v>643</v>
      </c>
      <c r="U786">
        <v>25</v>
      </c>
      <c r="V786">
        <v>19</v>
      </c>
      <c r="W786" t="s">
        <v>350</v>
      </c>
      <c r="X786" t="s">
        <v>349</v>
      </c>
      <c r="Y786" t="s">
        <v>642</v>
      </c>
      <c r="Z786">
        <v>2017</v>
      </c>
      <c r="AB786">
        <v>12</v>
      </c>
      <c r="AC786">
        <v>3.16</v>
      </c>
      <c r="AE786" t="s">
        <v>346</v>
      </c>
      <c r="AF786">
        <v>46.142674</v>
      </c>
      <c r="AG786">
        <v>-115.598088</v>
      </c>
      <c r="AH786">
        <v>15056889</v>
      </c>
    </row>
    <row r="787" spans="2:35">
      <c r="B787" t="s">
        <v>345</v>
      </c>
      <c r="C787" t="s">
        <v>1014</v>
      </c>
      <c r="D787" s="3">
        <v>42925.333333333336</v>
      </c>
      <c r="F787">
        <v>2017</v>
      </c>
      <c r="G787" t="s">
        <v>605</v>
      </c>
      <c r="H787" t="s">
        <v>352</v>
      </c>
      <c r="J787">
        <v>0</v>
      </c>
      <c r="L787">
        <v>2</v>
      </c>
      <c r="M787">
        <v>0</v>
      </c>
      <c r="N787">
        <v>0</v>
      </c>
      <c r="O787" t="s">
        <v>643</v>
      </c>
      <c r="U787">
        <v>25</v>
      </c>
      <c r="V787">
        <v>19</v>
      </c>
      <c r="W787" t="s">
        <v>350</v>
      </c>
      <c r="X787" t="s">
        <v>349</v>
      </c>
      <c r="Y787" t="s">
        <v>642</v>
      </c>
      <c r="Z787">
        <v>2017</v>
      </c>
      <c r="AB787">
        <v>12</v>
      </c>
      <c r="AC787">
        <v>3.16</v>
      </c>
      <c r="AE787" t="s">
        <v>346</v>
      </c>
      <c r="AF787">
        <v>46.142674</v>
      </c>
      <c r="AG787">
        <v>-115.598088</v>
      </c>
      <c r="AH787">
        <v>15056890</v>
      </c>
    </row>
    <row r="788" spans="2:35">
      <c r="B788" t="s">
        <v>345</v>
      </c>
      <c r="C788" t="s">
        <v>1014</v>
      </c>
      <c r="D788" s="3">
        <v>42925.333333333336</v>
      </c>
      <c r="F788">
        <v>2017</v>
      </c>
      <c r="G788" t="s">
        <v>611</v>
      </c>
      <c r="H788" t="s">
        <v>352</v>
      </c>
      <c r="J788">
        <v>0</v>
      </c>
      <c r="L788">
        <v>21</v>
      </c>
      <c r="M788">
        <v>0</v>
      </c>
      <c r="N788">
        <v>0</v>
      </c>
      <c r="O788" t="s">
        <v>643</v>
      </c>
      <c r="U788">
        <v>25</v>
      </c>
      <c r="V788">
        <v>19</v>
      </c>
      <c r="W788" t="s">
        <v>350</v>
      </c>
      <c r="X788" t="s">
        <v>349</v>
      </c>
      <c r="Y788" t="s">
        <v>642</v>
      </c>
      <c r="Z788">
        <v>2017</v>
      </c>
      <c r="AB788">
        <v>12</v>
      </c>
      <c r="AC788">
        <v>3.16</v>
      </c>
      <c r="AE788" t="s">
        <v>346</v>
      </c>
      <c r="AF788">
        <v>46.142674</v>
      </c>
      <c r="AG788">
        <v>-115.598088</v>
      </c>
      <c r="AH788">
        <v>15056891</v>
      </c>
    </row>
    <row r="789" spans="2:35">
      <c r="B789" t="s">
        <v>345</v>
      </c>
      <c r="C789" t="s">
        <v>1014</v>
      </c>
      <c r="D789" s="3">
        <v>42925.333333333336</v>
      </c>
      <c r="F789">
        <v>2017</v>
      </c>
      <c r="G789" t="s">
        <v>574</v>
      </c>
      <c r="H789" t="s">
        <v>352</v>
      </c>
      <c r="J789">
        <v>0</v>
      </c>
      <c r="L789">
        <v>1</v>
      </c>
      <c r="M789">
        <v>0</v>
      </c>
      <c r="N789">
        <v>0</v>
      </c>
      <c r="O789" t="s">
        <v>643</v>
      </c>
      <c r="U789">
        <v>25</v>
      </c>
      <c r="V789">
        <v>19</v>
      </c>
      <c r="W789" t="s">
        <v>350</v>
      </c>
      <c r="X789" t="s">
        <v>349</v>
      </c>
      <c r="Y789" t="s">
        <v>642</v>
      </c>
      <c r="Z789">
        <v>2017</v>
      </c>
      <c r="AB789">
        <v>12</v>
      </c>
      <c r="AC789">
        <v>3.16</v>
      </c>
      <c r="AE789" t="s">
        <v>346</v>
      </c>
      <c r="AF789">
        <v>46.142674</v>
      </c>
      <c r="AG789">
        <v>-115.598088</v>
      </c>
      <c r="AH789">
        <v>15056892</v>
      </c>
    </row>
    <row r="790" spans="2:35">
      <c r="B790" t="s">
        <v>345</v>
      </c>
      <c r="C790" t="s">
        <v>1014</v>
      </c>
      <c r="D790" s="3">
        <v>42925.333333333336</v>
      </c>
      <c r="F790">
        <v>2017</v>
      </c>
      <c r="G790" t="s">
        <v>480</v>
      </c>
      <c r="H790" t="s">
        <v>352</v>
      </c>
      <c r="J790">
        <v>0</v>
      </c>
      <c r="L790">
        <v>1</v>
      </c>
      <c r="M790">
        <v>0</v>
      </c>
      <c r="N790">
        <v>0</v>
      </c>
      <c r="O790" t="s">
        <v>643</v>
      </c>
      <c r="U790">
        <v>25</v>
      </c>
      <c r="V790">
        <v>19</v>
      </c>
      <c r="W790" t="s">
        <v>350</v>
      </c>
      <c r="X790" t="s">
        <v>349</v>
      </c>
      <c r="Y790" t="s">
        <v>642</v>
      </c>
      <c r="Z790">
        <v>2017</v>
      </c>
      <c r="AB790">
        <v>12</v>
      </c>
      <c r="AC790">
        <v>3.16</v>
      </c>
      <c r="AE790" t="s">
        <v>346</v>
      </c>
      <c r="AF790">
        <v>46.142674</v>
      </c>
      <c r="AG790">
        <v>-115.598088</v>
      </c>
      <c r="AH790">
        <v>15056893</v>
      </c>
    </row>
    <row r="791" spans="2:35">
      <c r="B791" t="s">
        <v>345</v>
      </c>
      <c r="C791" t="s">
        <v>949</v>
      </c>
      <c r="D791" s="3">
        <v>42909.299305555556</v>
      </c>
      <c r="F791">
        <v>2017</v>
      </c>
      <c r="G791" t="s">
        <v>611</v>
      </c>
      <c r="H791" t="s">
        <v>352</v>
      </c>
      <c r="J791">
        <v>0</v>
      </c>
      <c r="L791">
        <v>1</v>
      </c>
      <c r="M791">
        <v>97</v>
      </c>
      <c r="N791">
        <v>11</v>
      </c>
      <c r="O791" t="s">
        <v>353</v>
      </c>
      <c r="R791" t="s">
        <v>608</v>
      </c>
      <c r="U791">
        <v>11.5</v>
      </c>
      <c r="V791">
        <v>11</v>
      </c>
      <c r="W791" t="s">
        <v>350</v>
      </c>
      <c r="X791" t="s">
        <v>349</v>
      </c>
      <c r="Y791" t="s">
        <v>348</v>
      </c>
      <c r="Z791">
        <v>2017</v>
      </c>
      <c r="AB791">
        <v>11</v>
      </c>
      <c r="AC791">
        <v>4.95</v>
      </c>
      <c r="AE791" t="s">
        <v>346</v>
      </c>
      <c r="AF791">
        <v>46.142674</v>
      </c>
      <c r="AG791">
        <v>-115.598088</v>
      </c>
      <c r="AH791">
        <v>14852705</v>
      </c>
    </row>
    <row r="792" spans="2:35">
      <c r="B792" t="s">
        <v>345</v>
      </c>
      <c r="C792" t="s">
        <v>949</v>
      </c>
      <c r="D792" s="3">
        <v>42909.299305555556</v>
      </c>
      <c r="F792">
        <v>2017</v>
      </c>
      <c r="G792" t="s">
        <v>578</v>
      </c>
      <c r="H792" t="s">
        <v>352</v>
      </c>
      <c r="J792">
        <v>0</v>
      </c>
      <c r="L792">
        <v>1</v>
      </c>
      <c r="M792">
        <v>108</v>
      </c>
      <c r="N792">
        <v>13</v>
      </c>
      <c r="O792" t="s">
        <v>575</v>
      </c>
      <c r="Q792" t="s">
        <v>1015</v>
      </c>
      <c r="R792" t="s">
        <v>608</v>
      </c>
      <c r="U792">
        <v>11.5</v>
      </c>
      <c r="V792">
        <v>11</v>
      </c>
      <c r="W792" t="s">
        <v>350</v>
      </c>
      <c r="X792" t="s">
        <v>349</v>
      </c>
      <c r="Y792" t="s">
        <v>348</v>
      </c>
      <c r="Z792">
        <v>2017</v>
      </c>
      <c r="AB792">
        <v>11</v>
      </c>
      <c r="AC792">
        <v>4.95</v>
      </c>
      <c r="AE792" t="s">
        <v>346</v>
      </c>
      <c r="AF792">
        <v>46.142674</v>
      </c>
      <c r="AG792">
        <v>-115.598088</v>
      </c>
      <c r="AH792">
        <v>14852706</v>
      </c>
      <c r="AI792">
        <f>17-76553</f>
        <v>-76536</v>
      </c>
    </row>
    <row r="793" spans="2:35">
      <c r="B793" t="s">
        <v>345</v>
      </c>
      <c r="C793" t="s">
        <v>1016</v>
      </c>
      <c r="D793" s="3">
        <v>42978.290277777778</v>
      </c>
      <c r="F793">
        <v>2017</v>
      </c>
      <c r="G793" t="s">
        <v>602</v>
      </c>
      <c r="H793" t="s">
        <v>352</v>
      </c>
      <c r="J793">
        <v>0</v>
      </c>
      <c r="L793">
        <v>1</v>
      </c>
      <c r="M793">
        <v>0</v>
      </c>
      <c r="N793">
        <v>0</v>
      </c>
      <c r="O793" t="s">
        <v>643</v>
      </c>
      <c r="R793" t="s">
        <v>1017</v>
      </c>
      <c r="U793">
        <v>25</v>
      </c>
      <c r="V793">
        <v>25</v>
      </c>
      <c r="W793" t="s">
        <v>350</v>
      </c>
      <c r="X793" t="s">
        <v>349</v>
      </c>
      <c r="Y793" t="s">
        <v>642</v>
      </c>
      <c r="Z793">
        <v>2017</v>
      </c>
      <c r="AB793">
        <v>5</v>
      </c>
      <c r="AC793">
        <v>1.81</v>
      </c>
      <c r="AE793" t="s">
        <v>346</v>
      </c>
      <c r="AF793">
        <v>46.142674</v>
      </c>
      <c r="AG793">
        <v>-115.598088</v>
      </c>
      <c r="AH793">
        <v>14897665</v>
      </c>
    </row>
    <row r="794" spans="2:35">
      <c r="B794" t="s">
        <v>345</v>
      </c>
      <c r="C794" t="s">
        <v>1016</v>
      </c>
      <c r="D794" s="3">
        <v>42978.290277777778</v>
      </c>
      <c r="F794">
        <v>2017</v>
      </c>
      <c r="G794" t="s">
        <v>605</v>
      </c>
      <c r="H794" t="s">
        <v>352</v>
      </c>
      <c r="J794">
        <v>0</v>
      </c>
      <c r="L794">
        <v>1</v>
      </c>
      <c r="M794">
        <v>0</v>
      </c>
      <c r="N794">
        <v>0</v>
      </c>
      <c r="O794" t="s">
        <v>643</v>
      </c>
      <c r="R794" t="s">
        <v>1017</v>
      </c>
      <c r="U794">
        <v>25</v>
      </c>
      <c r="V794">
        <v>25</v>
      </c>
      <c r="W794" t="s">
        <v>350</v>
      </c>
      <c r="X794" t="s">
        <v>349</v>
      </c>
      <c r="Y794" t="s">
        <v>642</v>
      </c>
      <c r="Z794">
        <v>2017</v>
      </c>
      <c r="AB794">
        <v>5</v>
      </c>
      <c r="AC794">
        <v>1.81</v>
      </c>
      <c r="AE794" t="s">
        <v>346</v>
      </c>
      <c r="AF794">
        <v>46.142674</v>
      </c>
      <c r="AG794">
        <v>-115.598088</v>
      </c>
      <c r="AH794">
        <v>14897666</v>
      </c>
    </row>
    <row r="795" spans="2:35">
      <c r="B795" t="s">
        <v>345</v>
      </c>
      <c r="C795" t="s">
        <v>1016</v>
      </c>
      <c r="D795" s="3">
        <v>42978.290277777778</v>
      </c>
      <c r="F795">
        <v>2017</v>
      </c>
      <c r="G795" t="s">
        <v>605</v>
      </c>
      <c r="H795" t="s">
        <v>352</v>
      </c>
      <c r="J795">
        <v>0</v>
      </c>
      <c r="L795">
        <v>20</v>
      </c>
      <c r="M795">
        <v>0</v>
      </c>
      <c r="N795">
        <v>0</v>
      </c>
      <c r="O795" t="s">
        <v>606</v>
      </c>
      <c r="R795" t="s">
        <v>1017</v>
      </c>
      <c r="U795">
        <v>25</v>
      </c>
      <c r="V795">
        <v>25</v>
      </c>
      <c r="W795" t="s">
        <v>350</v>
      </c>
      <c r="X795" t="s">
        <v>349</v>
      </c>
      <c r="Y795" t="s">
        <v>642</v>
      </c>
      <c r="Z795">
        <v>2017</v>
      </c>
      <c r="AB795">
        <v>5</v>
      </c>
      <c r="AC795">
        <v>1.81</v>
      </c>
      <c r="AE795" t="s">
        <v>346</v>
      </c>
      <c r="AF795">
        <v>46.142674</v>
      </c>
      <c r="AG795">
        <v>-115.598088</v>
      </c>
      <c r="AH795">
        <v>14897667</v>
      </c>
    </row>
    <row r="796" spans="2:35">
      <c r="B796" t="s">
        <v>345</v>
      </c>
      <c r="C796" t="s">
        <v>1018</v>
      </c>
      <c r="D796" s="3">
        <v>42819.422222222223</v>
      </c>
      <c r="F796">
        <v>2017</v>
      </c>
      <c r="G796" t="s">
        <v>578</v>
      </c>
      <c r="H796" t="s">
        <v>352</v>
      </c>
      <c r="J796">
        <v>0</v>
      </c>
      <c r="L796">
        <v>1</v>
      </c>
      <c r="M796">
        <v>156</v>
      </c>
      <c r="N796">
        <v>34</v>
      </c>
      <c r="O796" t="s">
        <v>575</v>
      </c>
      <c r="Q796" t="s">
        <v>1019</v>
      </c>
      <c r="U796">
        <v>5</v>
      </c>
      <c r="V796">
        <v>4</v>
      </c>
      <c r="W796" t="s">
        <v>350</v>
      </c>
      <c r="X796" t="s">
        <v>349</v>
      </c>
      <c r="Y796" t="s">
        <v>580</v>
      </c>
      <c r="Z796">
        <v>2017</v>
      </c>
      <c r="AB796">
        <v>12</v>
      </c>
      <c r="AC796">
        <v>6.7</v>
      </c>
      <c r="AE796" t="s">
        <v>346</v>
      </c>
      <c r="AF796">
        <v>46.142674</v>
      </c>
      <c r="AG796">
        <v>-115.598088</v>
      </c>
      <c r="AH796">
        <v>14999884</v>
      </c>
    </row>
    <row r="797" spans="2:35">
      <c r="B797" t="s">
        <v>345</v>
      </c>
      <c r="C797" t="s">
        <v>1018</v>
      </c>
      <c r="D797" s="3">
        <v>42819.422222222223</v>
      </c>
      <c r="F797">
        <v>2017</v>
      </c>
      <c r="G797" t="s">
        <v>578</v>
      </c>
      <c r="H797" t="s">
        <v>352</v>
      </c>
      <c r="J797">
        <v>0</v>
      </c>
      <c r="L797">
        <v>1</v>
      </c>
      <c r="M797">
        <v>160</v>
      </c>
      <c r="N797">
        <v>39</v>
      </c>
      <c r="O797" t="s">
        <v>575</v>
      </c>
      <c r="Q797" t="s">
        <v>1020</v>
      </c>
      <c r="U797">
        <v>5</v>
      </c>
      <c r="V797">
        <v>4</v>
      </c>
      <c r="W797" t="s">
        <v>350</v>
      </c>
      <c r="X797" t="s">
        <v>349</v>
      </c>
      <c r="Y797" t="s">
        <v>580</v>
      </c>
      <c r="Z797">
        <v>2017</v>
      </c>
      <c r="AB797">
        <v>12</v>
      </c>
      <c r="AC797">
        <v>6.7</v>
      </c>
      <c r="AE797" t="s">
        <v>346</v>
      </c>
      <c r="AF797">
        <v>46.142674</v>
      </c>
      <c r="AG797">
        <v>-115.598088</v>
      </c>
      <c r="AH797">
        <v>14999885</v>
      </c>
    </row>
    <row r="798" spans="2:35">
      <c r="B798" t="s">
        <v>345</v>
      </c>
      <c r="C798" t="s">
        <v>1021</v>
      </c>
      <c r="D798" s="3">
        <v>42927.333333333336</v>
      </c>
      <c r="F798">
        <v>2017</v>
      </c>
      <c r="G798" t="s">
        <v>611</v>
      </c>
      <c r="H798" t="s">
        <v>352</v>
      </c>
      <c r="J798">
        <v>0</v>
      </c>
      <c r="L798">
        <v>7</v>
      </c>
      <c r="M798">
        <v>0</v>
      </c>
      <c r="N798">
        <v>0</v>
      </c>
      <c r="O798" t="s">
        <v>643</v>
      </c>
      <c r="U798">
        <v>25</v>
      </c>
      <c r="V798">
        <v>25</v>
      </c>
      <c r="W798" t="s">
        <v>350</v>
      </c>
      <c r="X798" t="s">
        <v>349</v>
      </c>
      <c r="Y798" t="s">
        <v>642</v>
      </c>
      <c r="Z798">
        <v>2017</v>
      </c>
      <c r="AB798">
        <v>13</v>
      </c>
      <c r="AC798">
        <v>3.03</v>
      </c>
      <c r="AE798" t="s">
        <v>346</v>
      </c>
      <c r="AF798">
        <v>46.142674</v>
      </c>
      <c r="AG798">
        <v>-115.598088</v>
      </c>
      <c r="AH798">
        <v>15058509</v>
      </c>
    </row>
    <row r="799" spans="2:35">
      <c r="B799" t="s">
        <v>345</v>
      </c>
      <c r="C799" t="s">
        <v>1021</v>
      </c>
      <c r="D799" s="3">
        <v>42927.333333333336</v>
      </c>
      <c r="F799">
        <v>2017</v>
      </c>
      <c r="G799" t="s">
        <v>480</v>
      </c>
      <c r="H799" t="s">
        <v>352</v>
      </c>
      <c r="J799">
        <v>0</v>
      </c>
      <c r="L799">
        <v>1</v>
      </c>
      <c r="M799">
        <v>0</v>
      </c>
      <c r="N799">
        <v>0</v>
      </c>
      <c r="O799" t="s">
        <v>643</v>
      </c>
      <c r="U799">
        <v>25</v>
      </c>
      <c r="V799">
        <v>25</v>
      </c>
      <c r="W799" t="s">
        <v>350</v>
      </c>
      <c r="X799" t="s">
        <v>349</v>
      </c>
      <c r="Y799" t="s">
        <v>642</v>
      </c>
      <c r="Z799">
        <v>2017</v>
      </c>
      <c r="AB799">
        <v>13</v>
      </c>
      <c r="AC799">
        <v>3.03</v>
      </c>
      <c r="AE799" t="s">
        <v>346</v>
      </c>
      <c r="AF799">
        <v>46.142674</v>
      </c>
      <c r="AG799">
        <v>-115.598088</v>
      </c>
      <c r="AH799">
        <v>15058510</v>
      </c>
    </row>
    <row r="800" spans="2:35">
      <c r="B800" t="s">
        <v>345</v>
      </c>
      <c r="C800" t="s">
        <v>1021</v>
      </c>
      <c r="D800" s="3">
        <v>42927.333333333336</v>
      </c>
      <c r="F800">
        <v>2017</v>
      </c>
      <c r="G800" t="s">
        <v>615</v>
      </c>
      <c r="H800" t="s">
        <v>352</v>
      </c>
      <c r="J800">
        <v>0</v>
      </c>
      <c r="L800">
        <v>1</v>
      </c>
      <c r="M800">
        <v>0</v>
      </c>
      <c r="N800">
        <v>0</v>
      </c>
      <c r="O800" t="s">
        <v>643</v>
      </c>
      <c r="U800">
        <v>25</v>
      </c>
      <c r="V800">
        <v>25</v>
      </c>
      <c r="W800" t="s">
        <v>350</v>
      </c>
      <c r="X800" t="s">
        <v>349</v>
      </c>
      <c r="Y800" t="s">
        <v>642</v>
      </c>
      <c r="Z800">
        <v>2017</v>
      </c>
      <c r="AB800">
        <v>13</v>
      </c>
      <c r="AC800">
        <v>3.03</v>
      </c>
      <c r="AE800" t="s">
        <v>346</v>
      </c>
      <c r="AF800">
        <v>46.142674</v>
      </c>
      <c r="AG800">
        <v>-115.598088</v>
      </c>
      <c r="AH800">
        <v>15058511</v>
      </c>
    </row>
    <row r="801" spans="2:35">
      <c r="B801" t="s">
        <v>345</v>
      </c>
      <c r="C801" t="s">
        <v>1021</v>
      </c>
      <c r="D801" s="3">
        <v>42927.333333333336</v>
      </c>
      <c r="F801">
        <v>2017</v>
      </c>
      <c r="G801" t="s">
        <v>602</v>
      </c>
      <c r="H801" t="s">
        <v>352</v>
      </c>
      <c r="J801">
        <v>0</v>
      </c>
      <c r="L801">
        <v>2</v>
      </c>
      <c r="M801">
        <v>0</v>
      </c>
      <c r="N801">
        <v>0</v>
      </c>
      <c r="O801" t="s">
        <v>643</v>
      </c>
      <c r="U801">
        <v>25</v>
      </c>
      <c r="V801">
        <v>25</v>
      </c>
      <c r="W801" t="s">
        <v>350</v>
      </c>
      <c r="X801" t="s">
        <v>349</v>
      </c>
      <c r="Y801" t="s">
        <v>642</v>
      </c>
      <c r="Z801">
        <v>2017</v>
      </c>
      <c r="AB801">
        <v>13</v>
      </c>
      <c r="AC801">
        <v>3.03</v>
      </c>
      <c r="AE801" t="s">
        <v>346</v>
      </c>
      <c r="AF801">
        <v>46.142674</v>
      </c>
      <c r="AG801">
        <v>-115.598088</v>
      </c>
      <c r="AH801">
        <v>15058512</v>
      </c>
    </row>
    <row r="802" spans="2:35">
      <c r="B802" t="s">
        <v>345</v>
      </c>
      <c r="C802" t="s">
        <v>1021</v>
      </c>
      <c r="D802" s="3">
        <v>42927.333333333336</v>
      </c>
      <c r="F802">
        <v>2017</v>
      </c>
      <c r="G802" t="s">
        <v>605</v>
      </c>
      <c r="H802" t="s">
        <v>352</v>
      </c>
      <c r="J802">
        <v>0</v>
      </c>
      <c r="L802">
        <v>3</v>
      </c>
      <c r="M802">
        <v>0</v>
      </c>
      <c r="N802">
        <v>0</v>
      </c>
      <c r="O802" t="s">
        <v>643</v>
      </c>
      <c r="U802">
        <v>25</v>
      </c>
      <c r="V802">
        <v>25</v>
      </c>
      <c r="W802" t="s">
        <v>350</v>
      </c>
      <c r="X802" t="s">
        <v>349</v>
      </c>
      <c r="Y802" t="s">
        <v>642</v>
      </c>
      <c r="Z802">
        <v>2017</v>
      </c>
      <c r="AB802">
        <v>13</v>
      </c>
      <c r="AC802">
        <v>3.03</v>
      </c>
      <c r="AE802" t="s">
        <v>346</v>
      </c>
      <c r="AF802">
        <v>46.142674</v>
      </c>
      <c r="AG802">
        <v>-115.598088</v>
      </c>
      <c r="AH802">
        <v>15058513</v>
      </c>
    </row>
    <row r="803" spans="2:35">
      <c r="B803" t="s">
        <v>345</v>
      </c>
      <c r="C803" t="s">
        <v>1021</v>
      </c>
      <c r="D803" s="3">
        <v>42927.333333333336</v>
      </c>
      <c r="F803">
        <v>2017</v>
      </c>
      <c r="G803" t="s">
        <v>743</v>
      </c>
      <c r="H803" t="s">
        <v>352</v>
      </c>
      <c r="J803">
        <v>0</v>
      </c>
      <c r="L803">
        <v>4</v>
      </c>
      <c r="M803">
        <v>0</v>
      </c>
      <c r="N803">
        <v>0</v>
      </c>
      <c r="O803" t="s">
        <v>643</v>
      </c>
      <c r="U803">
        <v>25</v>
      </c>
      <c r="V803">
        <v>25</v>
      </c>
      <c r="W803" t="s">
        <v>350</v>
      </c>
      <c r="X803" t="s">
        <v>349</v>
      </c>
      <c r="Y803" t="s">
        <v>642</v>
      </c>
      <c r="Z803">
        <v>2017</v>
      </c>
      <c r="AB803">
        <v>13</v>
      </c>
      <c r="AC803">
        <v>3.03</v>
      </c>
      <c r="AE803" t="s">
        <v>346</v>
      </c>
      <c r="AF803">
        <v>46.142674</v>
      </c>
      <c r="AG803">
        <v>-115.598088</v>
      </c>
      <c r="AH803">
        <v>15058514</v>
      </c>
    </row>
    <row r="804" spans="2:35">
      <c r="B804" t="s">
        <v>345</v>
      </c>
      <c r="C804" t="s">
        <v>1022</v>
      </c>
      <c r="D804" s="3">
        <v>43021.489583333336</v>
      </c>
      <c r="F804">
        <v>2017</v>
      </c>
      <c r="G804" t="s">
        <v>602</v>
      </c>
      <c r="H804" t="s">
        <v>352</v>
      </c>
      <c r="J804">
        <v>0</v>
      </c>
      <c r="L804">
        <v>1</v>
      </c>
      <c r="M804">
        <v>114</v>
      </c>
      <c r="N804">
        <v>16</v>
      </c>
      <c r="O804" t="s">
        <v>353</v>
      </c>
      <c r="R804" t="s">
        <v>1023</v>
      </c>
      <c r="U804">
        <v>8</v>
      </c>
      <c r="V804">
        <v>8</v>
      </c>
      <c r="W804" t="s">
        <v>350</v>
      </c>
      <c r="X804" t="s">
        <v>349</v>
      </c>
      <c r="Y804" t="s">
        <v>642</v>
      </c>
      <c r="Z804">
        <v>2017</v>
      </c>
      <c r="AB804">
        <v>7</v>
      </c>
      <c r="AC804">
        <v>2.0699999999999998</v>
      </c>
      <c r="AE804" t="s">
        <v>346</v>
      </c>
      <c r="AF804">
        <v>46.142674</v>
      </c>
      <c r="AG804">
        <v>-115.598088</v>
      </c>
      <c r="AH804">
        <v>15066709</v>
      </c>
    </row>
    <row r="805" spans="2:35">
      <c r="B805" t="s">
        <v>345</v>
      </c>
      <c r="C805" t="s">
        <v>1022</v>
      </c>
      <c r="D805" s="3">
        <v>43021.489583333336</v>
      </c>
      <c r="F805">
        <v>2017</v>
      </c>
      <c r="G805" t="s">
        <v>605</v>
      </c>
      <c r="H805" t="s">
        <v>352</v>
      </c>
      <c r="J805">
        <v>0</v>
      </c>
      <c r="L805">
        <v>11</v>
      </c>
      <c r="M805">
        <v>0</v>
      </c>
      <c r="N805">
        <v>0</v>
      </c>
      <c r="O805" t="s">
        <v>606</v>
      </c>
      <c r="R805" t="s">
        <v>1023</v>
      </c>
      <c r="U805">
        <v>8</v>
      </c>
      <c r="V805">
        <v>8</v>
      </c>
      <c r="W805" t="s">
        <v>350</v>
      </c>
      <c r="X805" t="s">
        <v>349</v>
      </c>
      <c r="Y805" t="s">
        <v>642</v>
      </c>
      <c r="Z805">
        <v>2017</v>
      </c>
      <c r="AB805">
        <v>7</v>
      </c>
      <c r="AC805">
        <v>2.0699999999999998</v>
      </c>
      <c r="AE805" t="s">
        <v>346</v>
      </c>
      <c r="AF805">
        <v>46.142674</v>
      </c>
      <c r="AG805">
        <v>-115.598088</v>
      </c>
      <c r="AH805">
        <v>15066710</v>
      </c>
    </row>
    <row r="806" spans="2:35">
      <c r="B806" t="s">
        <v>345</v>
      </c>
      <c r="C806" t="s">
        <v>1022</v>
      </c>
      <c r="D806" s="3">
        <v>43021.489583333336</v>
      </c>
      <c r="F806">
        <v>2017</v>
      </c>
      <c r="G806" t="s">
        <v>611</v>
      </c>
      <c r="H806" t="s">
        <v>352</v>
      </c>
      <c r="J806">
        <v>0</v>
      </c>
      <c r="L806">
        <v>1</v>
      </c>
      <c r="M806">
        <v>95</v>
      </c>
      <c r="N806">
        <v>10</v>
      </c>
      <c r="O806" t="s">
        <v>353</v>
      </c>
      <c r="R806" t="s">
        <v>1023</v>
      </c>
      <c r="U806">
        <v>8</v>
      </c>
      <c r="V806">
        <v>8</v>
      </c>
      <c r="W806" t="s">
        <v>350</v>
      </c>
      <c r="X806" t="s">
        <v>349</v>
      </c>
      <c r="Y806" t="s">
        <v>642</v>
      </c>
      <c r="Z806">
        <v>2017</v>
      </c>
      <c r="AB806">
        <v>7</v>
      </c>
      <c r="AC806">
        <v>2.0699999999999998</v>
      </c>
      <c r="AE806" t="s">
        <v>346</v>
      </c>
      <c r="AF806">
        <v>46.142674</v>
      </c>
      <c r="AG806">
        <v>-115.598088</v>
      </c>
      <c r="AH806">
        <v>15066711</v>
      </c>
    </row>
    <row r="807" spans="2:35">
      <c r="B807" t="s">
        <v>345</v>
      </c>
      <c r="C807" t="s">
        <v>1024</v>
      </c>
      <c r="D807" s="3">
        <v>42964.375</v>
      </c>
      <c r="F807">
        <v>2017</v>
      </c>
      <c r="G807" t="s">
        <v>605</v>
      </c>
      <c r="H807" t="s">
        <v>352</v>
      </c>
      <c r="J807">
        <v>0</v>
      </c>
      <c r="L807">
        <v>1</v>
      </c>
      <c r="M807">
        <v>0</v>
      </c>
      <c r="N807">
        <v>0</v>
      </c>
      <c r="O807" t="s">
        <v>643</v>
      </c>
      <c r="R807" t="s">
        <v>1023</v>
      </c>
      <c r="U807">
        <v>25</v>
      </c>
      <c r="V807">
        <v>25</v>
      </c>
      <c r="W807" t="s">
        <v>350</v>
      </c>
      <c r="X807" t="s">
        <v>349</v>
      </c>
      <c r="Y807" t="s">
        <v>642</v>
      </c>
      <c r="Z807">
        <v>2017</v>
      </c>
      <c r="AB807">
        <v>8</v>
      </c>
      <c r="AC807">
        <v>1.98</v>
      </c>
      <c r="AE807" t="s">
        <v>346</v>
      </c>
      <c r="AF807">
        <v>46.142674</v>
      </c>
      <c r="AG807">
        <v>-115.598088</v>
      </c>
      <c r="AH807">
        <v>15108028</v>
      </c>
    </row>
    <row r="808" spans="2:35">
      <c r="B808" t="s">
        <v>345</v>
      </c>
      <c r="C808" t="s">
        <v>1024</v>
      </c>
      <c r="D808" s="3">
        <v>42964.375</v>
      </c>
      <c r="F808">
        <v>2017</v>
      </c>
      <c r="G808" t="s">
        <v>605</v>
      </c>
      <c r="H808" t="s">
        <v>352</v>
      </c>
      <c r="J808">
        <v>0</v>
      </c>
      <c r="L808">
        <v>50</v>
      </c>
      <c r="M808">
        <v>0</v>
      </c>
      <c r="N808">
        <v>0</v>
      </c>
      <c r="O808" t="s">
        <v>606</v>
      </c>
      <c r="R808" t="s">
        <v>1023</v>
      </c>
      <c r="U808">
        <v>25</v>
      </c>
      <c r="V808">
        <v>25</v>
      </c>
      <c r="W808" t="s">
        <v>350</v>
      </c>
      <c r="X808" t="s">
        <v>349</v>
      </c>
      <c r="Y808" t="s">
        <v>642</v>
      </c>
      <c r="Z808">
        <v>2017</v>
      </c>
      <c r="AB808">
        <v>8</v>
      </c>
      <c r="AC808">
        <v>1.98</v>
      </c>
      <c r="AE808" t="s">
        <v>346</v>
      </c>
      <c r="AF808">
        <v>46.142674</v>
      </c>
      <c r="AG808">
        <v>-115.598088</v>
      </c>
      <c r="AH808">
        <v>15108029</v>
      </c>
    </row>
    <row r="809" spans="2:35">
      <c r="B809" t="s">
        <v>345</v>
      </c>
      <c r="C809" t="s">
        <v>1024</v>
      </c>
      <c r="D809" s="3">
        <v>42964.375</v>
      </c>
      <c r="F809">
        <v>2017</v>
      </c>
      <c r="G809" t="s">
        <v>602</v>
      </c>
      <c r="H809" t="s">
        <v>352</v>
      </c>
      <c r="J809">
        <v>0</v>
      </c>
      <c r="L809">
        <v>1</v>
      </c>
      <c r="M809">
        <v>0</v>
      </c>
      <c r="N809">
        <v>0</v>
      </c>
      <c r="O809" t="s">
        <v>643</v>
      </c>
      <c r="R809" t="s">
        <v>1023</v>
      </c>
      <c r="U809">
        <v>25</v>
      </c>
      <c r="V809">
        <v>25</v>
      </c>
      <c r="W809" t="s">
        <v>350</v>
      </c>
      <c r="X809" t="s">
        <v>349</v>
      </c>
      <c r="Y809" t="s">
        <v>642</v>
      </c>
      <c r="Z809">
        <v>2017</v>
      </c>
      <c r="AB809">
        <v>8</v>
      </c>
      <c r="AC809">
        <v>1.98</v>
      </c>
      <c r="AE809" t="s">
        <v>346</v>
      </c>
      <c r="AF809">
        <v>46.142674</v>
      </c>
      <c r="AG809">
        <v>-115.598088</v>
      </c>
      <c r="AH809">
        <v>15108030</v>
      </c>
    </row>
    <row r="810" spans="2:35">
      <c r="B810" t="s">
        <v>345</v>
      </c>
      <c r="C810" t="s">
        <v>1025</v>
      </c>
      <c r="D810" s="3">
        <v>42969.368055555555</v>
      </c>
      <c r="F810">
        <v>2017</v>
      </c>
      <c r="G810" t="s">
        <v>605</v>
      </c>
      <c r="H810" t="s">
        <v>352</v>
      </c>
      <c r="J810">
        <v>0</v>
      </c>
      <c r="L810">
        <v>30</v>
      </c>
      <c r="M810">
        <v>0</v>
      </c>
      <c r="N810">
        <v>0</v>
      </c>
      <c r="O810" t="s">
        <v>606</v>
      </c>
      <c r="R810" t="s">
        <v>647</v>
      </c>
      <c r="U810">
        <v>25</v>
      </c>
      <c r="V810">
        <v>25</v>
      </c>
      <c r="W810" t="s">
        <v>350</v>
      </c>
      <c r="X810" t="s">
        <v>349</v>
      </c>
      <c r="Y810" t="s">
        <v>642</v>
      </c>
      <c r="Z810">
        <v>2017</v>
      </c>
      <c r="AB810">
        <v>6</v>
      </c>
      <c r="AC810">
        <v>1.91</v>
      </c>
      <c r="AE810" t="s">
        <v>346</v>
      </c>
      <c r="AF810">
        <v>46.142674</v>
      </c>
      <c r="AG810">
        <v>-115.598088</v>
      </c>
      <c r="AH810">
        <v>15109935</v>
      </c>
    </row>
    <row r="811" spans="2:35">
      <c r="B811" t="s">
        <v>345</v>
      </c>
      <c r="C811" t="s">
        <v>1026</v>
      </c>
      <c r="D811" s="3">
        <v>42849.30972222222</v>
      </c>
      <c r="F811">
        <v>2017</v>
      </c>
      <c r="G811" t="s">
        <v>578</v>
      </c>
      <c r="H811" t="s">
        <v>352</v>
      </c>
      <c r="J811">
        <v>0</v>
      </c>
      <c r="L811">
        <v>1</v>
      </c>
      <c r="M811">
        <v>162</v>
      </c>
      <c r="N811">
        <v>42</v>
      </c>
      <c r="O811" t="s">
        <v>575</v>
      </c>
      <c r="Q811" t="s">
        <v>1027</v>
      </c>
      <c r="R811" t="s">
        <v>1028</v>
      </c>
      <c r="U811">
        <v>7</v>
      </c>
      <c r="V811">
        <v>7</v>
      </c>
      <c r="W811" t="s">
        <v>350</v>
      </c>
      <c r="X811" t="s">
        <v>349</v>
      </c>
      <c r="Y811" t="s">
        <v>580</v>
      </c>
      <c r="Z811">
        <v>2017</v>
      </c>
      <c r="AB811">
        <v>13</v>
      </c>
      <c r="AC811">
        <v>5.89</v>
      </c>
      <c r="AE811" t="s">
        <v>346</v>
      </c>
      <c r="AF811">
        <v>46.142674</v>
      </c>
      <c r="AG811">
        <v>-115.598088</v>
      </c>
      <c r="AH811">
        <v>15106550</v>
      </c>
      <c r="AI811">
        <f>17-68215</f>
        <v>-68198</v>
      </c>
    </row>
    <row r="812" spans="2:35">
      <c r="B812" t="s">
        <v>345</v>
      </c>
      <c r="C812" t="s">
        <v>1026</v>
      </c>
      <c r="D812" s="3">
        <v>42849.30972222222</v>
      </c>
      <c r="F812">
        <v>2017</v>
      </c>
      <c r="G812" t="s">
        <v>578</v>
      </c>
      <c r="H812" t="s">
        <v>352</v>
      </c>
      <c r="J812">
        <v>0</v>
      </c>
      <c r="L812">
        <v>1</v>
      </c>
      <c r="M812">
        <v>183</v>
      </c>
      <c r="N812">
        <v>56</v>
      </c>
      <c r="O812" t="s">
        <v>575</v>
      </c>
      <c r="Q812" t="s">
        <v>1029</v>
      </c>
      <c r="R812" t="s">
        <v>1028</v>
      </c>
      <c r="U812">
        <v>7</v>
      </c>
      <c r="V812">
        <v>7</v>
      </c>
      <c r="W812" t="s">
        <v>350</v>
      </c>
      <c r="X812" t="s">
        <v>349</v>
      </c>
      <c r="Y812" t="s">
        <v>580</v>
      </c>
      <c r="Z812">
        <v>2017</v>
      </c>
      <c r="AB812">
        <v>13</v>
      </c>
      <c r="AC812">
        <v>5.89</v>
      </c>
      <c r="AE812" t="s">
        <v>346</v>
      </c>
      <c r="AF812">
        <v>46.142674</v>
      </c>
      <c r="AG812">
        <v>-115.598088</v>
      </c>
      <c r="AH812">
        <v>15106551</v>
      </c>
      <c r="AI812">
        <f>17-68238</f>
        <v>-68221</v>
      </c>
    </row>
    <row r="813" spans="2:35">
      <c r="B813" t="s">
        <v>345</v>
      </c>
      <c r="C813" t="s">
        <v>1026</v>
      </c>
      <c r="D813" s="3">
        <v>42849.30972222222</v>
      </c>
      <c r="F813">
        <v>2017</v>
      </c>
      <c r="G813" t="s">
        <v>611</v>
      </c>
      <c r="H813" t="s">
        <v>352</v>
      </c>
      <c r="J813">
        <v>0</v>
      </c>
      <c r="L813">
        <v>1</v>
      </c>
      <c r="M813">
        <v>82</v>
      </c>
      <c r="N813">
        <v>8</v>
      </c>
      <c r="O813" t="s">
        <v>353</v>
      </c>
      <c r="R813" t="s">
        <v>1028</v>
      </c>
      <c r="U813">
        <v>7</v>
      </c>
      <c r="V813">
        <v>7</v>
      </c>
      <c r="W813" t="s">
        <v>350</v>
      </c>
      <c r="X813" t="s">
        <v>349</v>
      </c>
      <c r="Y813" t="s">
        <v>580</v>
      </c>
      <c r="Z813">
        <v>2017</v>
      </c>
      <c r="AB813">
        <v>13</v>
      </c>
      <c r="AC813">
        <v>5.89</v>
      </c>
      <c r="AE813" t="s">
        <v>346</v>
      </c>
      <c r="AF813">
        <v>46.142674</v>
      </c>
      <c r="AG813">
        <v>-115.598088</v>
      </c>
      <c r="AH813">
        <v>15106552</v>
      </c>
    </row>
    <row r="814" spans="2:35">
      <c r="B814" t="s">
        <v>345</v>
      </c>
      <c r="C814" t="s">
        <v>1026</v>
      </c>
      <c r="D814" s="3">
        <v>42849.30972222222</v>
      </c>
      <c r="F814">
        <v>2017</v>
      </c>
      <c r="G814" t="s">
        <v>578</v>
      </c>
      <c r="H814" t="s">
        <v>352</v>
      </c>
      <c r="J814">
        <v>0</v>
      </c>
      <c r="L814">
        <v>1</v>
      </c>
      <c r="M814">
        <v>156</v>
      </c>
      <c r="N814">
        <v>36</v>
      </c>
      <c r="O814" t="s">
        <v>575</v>
      </c>
      <c r="Q814" t="s">
        <v>1030</v>
      </c>
      <c r="R814" t="s">
        <v>1028</v>
      </c>
      <c r="U814">
        <v>7</v>
      </c>
      <c r="V814">
        <v>7</v>
      </c>
      <c r="W814" t="s">
        <v>350</v>
      </c>
      <c r="X814" t="s">
        <v>349</v>
      </c>
      <c r="Y814" t="s">
        <v>580</v>
      </c>
      <c r="Z814">
        <v>2017</v>
      </c>
      <c r="AB814">
        <v>13</v>
      </c>
      <c r="AC814">
        <v>5.89</v>
      </c>
      <c r="AE814" t="s">
        <v>346</v>
      </c>
      <c r="AF814">
        <v>46.142674</v>
      </c>
      <c r="AG814">
        <v>-115.598088</v>
      </c>
      <c r="AH814">
        <v>15106553</v>
      </c>
      <c r="AI814">
        <f>17-68251</f>
        <v>-68234</v>
      </c>
    </row>
    <row r="815" spans="2:35">
      <c r="B815" t="s">
        <v>345</v>
      </c>
      <c r="C815" t="s">
        <v>1026</v>
      </c>
      <c r="D815" s="3">
        <v>42849.30972222222</v>
      </c>
      <c r="F815">
        <v>2017</v>
      </c>
      <c r="G815" t="s">
        <v>578</v>
      </c>
      <c r="H815" t="s">
        <v>352</v>
      </c>
      <c r="J815">
        <v>0</v>
      </c>
      <c r="L815">
        <v>1</v>
      </c>
      <c r="M815">
        <v>170</v>
      </c>
      <c r="N815">
        <v>49</v>
      </c>
      <c r="O815" t="s">
        <v>575</v>
      </c>
      <c r="Q815" t="s">
        <v>1031</v>
      </c>
      <c r="R815" t="s">
        <v>1028</v>
      </c>
      <c r="U815">
        <v>7</v>
      </c>
      <c r="V815">
        <v>7</v>
      </c>
      <c r="W815" t="s">
        <v>350</v>
      </c>
      <c r="X815" t="s">
        <v>349</v>
      </c>
      <c r="Y815" t="s">
        <v>580</v>
      </c>
      <c r="Z815">
        <v>2017</v>
      </c>
      <c r="AB815">
        <v>13</v>
      </c>
      <c r="AC815">
        <v>5.89</v>
      </c>
      <c r="AE815" t="s">
        <v>346</v>
      </c>
      <c r="AF815">
        <v>46.142674</v>
      </c>
      <c r="AG815">
        <v>-115.598088</v>
      </c>
      <c r="AH815">
        <v>15106554</v>
      </c>
      <c r="AI815">
        <f>17-68234</f>
        <v>-68217</v>
      </c>
    </row>
    <row r="816" spans="2:35">
      <c r="B816" t="s">
        <v>345</v>
      </c>
      <c r="C816" t="s">
        <v>1026</v>
      </c>
      <c r="D816" s="3">
        <v>42849.30972222222</v>
      </c>
      <c r="F816">
        <v>2017</v>
      </c>
      <c r="G816" t="s">
        <v>578</v>
      </c>
      <c r="H816" t="s">
        <v>352</v>
      </c>
      <c r="J816">
        <v>0</v>
      </c>
      <c r="L816">
        <v>1</v>
      </c>
      <c r="M816">
        <v>183</v>
      </c>
      <c r="N816">
        <v>52</v>
      </c>
      <c r="O816" t="s">
        <v>575</v>
      </c>
      <c r="Q816" t="s">
        <v>1032</v>
      </c>
      <c r="R816" t="s">
        <v>1028</v>
      </c>
      <c r="U816">
        <v>7</v>
      </c>
      <c r="V816">
        <v>7</v>
      </c>
      <c r="W816" t="s">
        <v>350</v>
      </c>
      <c r="X816" t="s">
        <v>349</v>
      </c>
      <c r="Y816" t="s">
        <v>580</v>
      </c>
      <c r="Z816">
        <v>2017</v>
      </c>
      <c r="AB816">
        <v>13</v>
      </c>
      <c r="AC816">
        <v>5.89</v>
      </c>
      <c r="AE816" t="s">
        <v>346</v>
      </c>
      <c r="AF816">
        <v>46.142674</v>
      </c>
      <c r="AG816">
        <v>-115.598088</v>
      </c>
      <c r="AH816">
        <v>15106555</v>
      </c>
      <c r="AI816">
        <f>17-68228</f>
        <v>-68211</v>
      </c>
    </row>
    <row r="817" spans="2:35">
      <c r="B817" t="s">
        <v>345</v>
      </c>
      <c r="C817" t="s">
        <v>1026</v>
      </c>
      <c r="D817" s="3">
        <v>42849.30972222222</v>
      </c>
      <c r="F817">
        <v>2017</v>
      </c>
      <c r="G817" t="s">
        <v>578</v>
      </c>
      <c r="H817" t="s">
        <v>352</v>
      </c>
      <c r="J817">
        <v>0</v>
      </c>
      <c r="L817">
        <v>1</v>
      </c>
      <c r="M817">
        <v>160</v>
      </c>
      <c r="N817">
        <v>36</v>
      </c>
      <c r="O817" t="s">
        <v>575</v>
      </c>
      <c r="Q817" t="s">
        <v>1033</v>
      </c>
      <c r="R817" t="s">
        <v>1028</v>
      </c>
      <c r="U817">
        <v>7</v>
      </c>
      <c r="V817">
        <v>7</v>
      </c>
      <c r="W817" t="s">
        <v>350</v>
      </c>
      <c r="X817" t="s">
        <v>349</v>
      </c>
      <c r="Y817" t="s">
        <v>580</v>
      </c>
      <c r="Z817">
        <v>2017</v>
      </c>
      <c r="AB817">
        <v>13</v>
      </c>
      <c r="AC817">
        <v>5.89</v>
      </c>
      <c r="AE817" t="s">
        <v>346</v>
      </c>
      <c r="AF817">
        <v>46.142674</v>
      </c>
      <c r="AG817">
        <v>-115.598088</v>
      </c>
      <c r="AH817">
        <v>15106556</v>
      </c>
      <c r="AI817">
        <f>17-68236</f>
        <v>-68219</v>
      </c>
    </row>
    <row r="818" spans="2:35">
      <c r="B818" t="s">
        <v>345</v>
      </c>
      <c r="C818" t="s">
        <v>1026</v>
      </c>
      <c r="D818" s="3">
        <v>42849.30972222222</v>
      </c>
      <c r="F818">
        <v>2017</v>
      </c>
      <c r="G818" t="s">
        <v>578</v>
      </c>
      <c r="H818" t="s">
        <v>352</v>
      </c>
      <c r="J818">
        <v>0</v>
      </c>
      <c r="L818">
        <v>1</v>
      </c>
      <c r="M818">
        <v>180</v>
      </c>
      <c r="N818">
        <v>55</v>
      </c>
      <c r="O818" t="s">
        <v>575</v>
      </c>
      <c r="Q818" t="s">
        <v>1034</v>
      </c>
      <c r="R818" t="s">
        <v>1028</v>
      </c>
      <c r="U818">
        <v>7</v>
      </c>
      <c r="V818">
        <v>7</v>
      </c>
      <c r="W818" t="s">
        <v>350</v>
      </c>
      <c r="X818" t="s">
        <v>349</v>
      </c>
      <c r="Y818" t="s">
        <v>580</v>
      </c>
      <c r="Z818">
        <v>2017</v>
      </c>
      <c r="AB818">
        <v>13</v>
      </c>
      <c r="AC818">
        <v>5.89</v>
      </c>
      <c r="AE818" t="s">
        <v>346</v>
      </c>
      <c r="AF818">
        <v>46.142674</v>
      </c>
      <c r="AG818">
        <v>-115.598088</v>
      </c>
      <c r="AH818">
        <v>15106557</v>
      </c>
      <c r="AI818">
        <f>17-68223</f>
        <v>-68206</v>
      </c>
    </row>
    <row r="819" spans="2:35">
      <c r="B819" t="s">
        <v>345</v>
      </c>
      <c r="C819" t="s">
        <v>1026</v>
      </c>
      <c r="D819" s="3">
        <v>42849.30972222222</v>
      </c>
      <c r="F819">
        <v>2017</v>
      </c>
      <c r="G819" t="s">
        <v>578</v>
      </c>
      <c r="H819" t="s">
        <v>352</v>
      </c>
      <c r="J819">
        <v>0</v>
      </c>
      <c r="L819">
        <v>1</v>
      </c>
      <c r="M819">
        <v>178</v>
      </c>
      <c r="N819">
        <v>54</v>
      </c>
      <c r="O819" t="s">
        <v>575</v>
      </c>
      <c r="Q819" t="s">
        <v>1035</v>
      </c>
      <c r="R819" t="s">
        <v>1028</v>
      </c>
      <c r="U819">
        <v>7</v>
      </c>
      <c r="V819">
        <v>7</v>
      </c>
      <c r="W819" t="s">
        <v>350</v>
      </c>
      <c r="X819" t="s">
        <v>349</v>
      </c>
      <c r="Y819" t="s">
        <v>580</v>
      </c>
      <c r="Z819">
        <v>2017</v>
      </c>
      <c r="AB819">
        <v>13</v>
      </c>
      <c r="AC819">
        <v>5.89</v>
      </c>
      <c r="AE819" t="s">
        <v>346</v>
      </c>
      <c r="AF819">
        <v>46.142674</v>
      </c>
      <c r="AG819">
        <v>-115.598088</v>
      </c>
      <c r="AH819">
        <v>15106558</v>
      </c>
      <c r="AI819">
        <f>17-68231</f>
        <v>-68214</v>
      </c>
    </row>
    <row r="820" spans="2:35">
      <c r="B820" t="s">
        <v>345</v>
      </c>
      <c r="C820" t="s">
        <v>1026</v>
      </c>
      <c r="D820" s="3">
        <v>42849.30972222222</v>
      </c>
      <c r="F820">
        <v>2017</v>
      </c>
      <c r="G820" t="s">
        <v>578</v>
      </c>
      <c r="H820" t="s">
        <v>352</v>
      </c>
      <c r="J820">
        <v>0</v>
      </c>
      <c r="L820">
        <v>1</v>
      </c>
      <c r="M820">
        <v>154</v>
      </c>
      <c r="N820">
        <v>33</v>
      </c>
      <c r="O820" t="s">
        <v>575</v>
      </c>
      <c r="Q820" t="s">
        <v>1036</v>
      </c>
      <c r="R820" t="s">
        <v>1028</v>
      </c>
      <c r="U820">
        <v>7</v>
      </c>
      <c r="V820">
        <v>7</v>
      </c>
      <c r="W820" t="s">
        <v>350</v>
      </c>
      <c r="X820" t="s">
        <v>349</v>
      </c>
      <c r="Y820" t="s">
        <v>580</v>
      </c>
      <c r="Z820">
        <v>2017</v>
      </c>
      <c r="AB820">
        <v>13</v>
      </c>
      <c r="AC820">
        <v>5.89</v>
      </c>
      <c r="AE820" t="s">
        <v>346</v>
      </c>
      <c r="AF820">
        <v>46.142674</v>
      </c>
      <c r="AG820">
        <v>-115.598088</v>
      </c>
      <c r="AH820">
        <v>15106559</v>
      </c>
      <c r="AI820">
        <f>17-68246</f>
        <v>-68229</v>
      </c>
    </row>
    <row r="821" spans="2:35">
      <c r="B821" t="s">
        <v>345</v>
      </c>
      <c r="C821" t="s">
        <v>1026</v>
      </c>
      <c r="D821" s="3">
        <v>42849.30972222222</v>
      </c>
      <c r="F821">
        <v>2017</v>
      </c>
      <c r="G821" t="s">
        <v>578</v>
      </c>
      <c r="H821" t="s">
        <v>352</v>
      </c>
      <c r="J821">
        <v>0</v>
      </c>
      <c r="L821">
        <v>1</v>
      </c>
      <c r="M821">
        <v>184</v>
      </c>
      <c r="N821">
        <v>58</v>
      </c>
      <c r="O821" t="s">
        <v>575</v>
      </c>
      <c r="Q821" t="s">
        <v>1037</v>
      </c>
      <c r="R821" t="s">
        <v>1028</v>
      </c>
      <c r="U821">
        <v>7</v>
      </c>
      <c r="V821">
        <v>7</v>
      </c>
      <c r="W821" t="s">
        <v>350</v>
      </c>
      <c r="X821" t="s">
        <v>349</v>
      </c>
      <c r="Y821" t="s">
        <v>580</v>
      </c>
      <c r="Z821">
        <v>2017</v>
      </c>
      <c r="AB821">
        <v>13</v>
      </c>
      <c r="AC821">
        <v>5.89</v>
      </c>
      <c r="AE821" t="s">
        <v>346</v>
      </c>
      <c r="AF821">
        <v>46.142674</v>
      </c>
      <c r="AG821">
        <v>-115.598088</v>
      </c>
      <c r="AH821">
        <v>15106560</v>
      </c>
      <c r="AI821">
        <f>17-68217</f>
        <v>-68200</v>
      </c>
    </row>
    <row r="822" spans="2:35">
      <c r="B822" t="s">
        <v>345</v>
      </c>
      <c r="C822" t="s">
        <v>1026</v>
      </c>
      <c r="D822" s="3">
        <v>42849.30972222222</v>
      </c>
      <c r="F822">
        <v>2017</v>
      </c>
      <c r="G822" t="s">
        <v>578</v>
      </c>
      <c r="H822" t="s">
        <v>352</v>
      </c>
      <c r="J822">
        <v>0</v>
      </c>
      <c r="L822">
        <v>1</v>
      </c>
      <c r="M822">
        <v>145</v>
      </c>
      <c r="N822">
        <v>28</v>
      </c>
      <c r="O822" t="s">
        <v>575</v>
      </c>
      <c r="Q822" t="s">
        <v>1038</v>
      </c>
      <c r="R822" t="s">
        <v>1028</v>
      </c>
      <c r="U822">
        <v>7</v>
      </c>
      <c r="V822">
        <v>7</v>
      </c>
      <c r="W822" t="s">
        <v>350</v>
      </c>
      <c r="X822" t="s">
        <v>349</v>
      </c>
      <c r="Y822" t="s">
        <v>580</v>
      </c>
      <c r="Z822">
        <v>2017</v>
      </c>
      <c r="AB822">
        <v>13</v>
      </c>
      <c r="AC822">
        <v>5.89</v>
      </c>
      <c r="AE822" t="s">
        <v>346</v>
      </c>
      <c r="AF822">
        <v>46.142674</v>
      </c>
      <c r="AG822">
        <v>-115.598088</v>
      </c>
      <c r="AH822">
        <v>15106561</v>
      </c>
      <c r="AI822">
        <f>17-68233</f>
        <v>-68216</v>
      </c>
    </row>
    <row r="823" spans="2:35">
      <c r="B823" t="s">
        <v>345</v>
      </c>
      <c r="C823" t="s">
        <v>1026</v>
      </c>
      <c r="D823" s="3">
        <v>42849.30972222222</v>
      </c>
      <c r="F823">
        <v>2017</v>
      </c>
      <c r="G823" t="s">
        <v>578</v>
      </c>
      <c r="H823" t="s">
        <v>352</v>
      </c>
      <c r="J823">
        <v>0</v>
      </c>
      <c r="L823">
        <v>1</v>
      </c>
      <c r="M823">
        <v>161</v>
      </c>
      <c r="N823">
        <v>42</v>
      </c>
      <c r="O823" t="s">
        <v>575</v>
      </c>
      <c r="Q823" t="s">
        <v>1039</v>
      </c>
      <c r="R823" t="s">
        <v>1028</v>
      </c>
      <c r="U823">
        <v>7</v>
      </c>
      <c r="V823">
        <v>7</v>
      </c>
      <c r="W823" t="s">
        <v>350</v>
      </c>
      <c r="X823" t="s">
        <v>349</v>
      </c>
      <c r="Y823" t="s">
        <v>580</v>
      </c>
      <c r="Z823">
        <v>2017</v>
      </c>
      <c r="AB823">
        <v>13</v>
      </c>
      <c r="AC823">
        <v>5.89</v>
      </c>
      <c r="AE823" t="s">
        <v>346</v>
      </c>
      <c r="AF823">
        <v>46.142674</v>
      </c>
      <c r="AG823">
        <v>-115.598088</v>
      </c>
      <c r="AH823">
        <v>15106562</v>
      </c>
      <c r="AI823">
        <f>17-68247</f>
        <v>-68230</v>
      </c>
    </row>
    <row r="824" spans="2:35">
      <c r="B824" t="s">
        <v>345</v>
      </c>
      <c r="C824" t="s">
        <v>1026</v>
      </c>
      <c r="D824" s="3">
        <v>42849.30972222222</v>
      </c>
      <c r="F824">
        <v>2017</v>
      </c>
      <c r="G824" t="s">
        <v>578</v>
      </c>
      <c r="H824" t="s">
        <v>352</v>
      </c>
      <c r="J824">
        <v>0</v>
      </c>
      <c r="L824">
        <v>1</v>
      </c>
      <c r="M824">
        <v>178</v>
      </c>
      <c r="N824">
        <v>46</v>
      </c>
      <c r="O824" t="s">
        <v>575</v>
      </c>
      <c r="Q824" t="s">
        <v>1040</v>
      </c>
      <c r="R824" t="s">
        <v>1028</v>
      </c>
      <c r="U824">
        <v>7</v>
      </c>
      <c r="V824">
        <v>7</v>
      </c>
      <c r="W824" t="s">
        <v>350</v>
      </c>
      <c r="X824" t="s">
        <v>349</v>
      </c>
      <c r="Y824" t="s">
        <v>580</v>
      </c>
      <c r="Z824">
        <v>2017</v>
      </c>
      <c r="AB824">
        <v>13</v>
      </c>
      <c r="AC824">
        <v>5.89</v>
      </c>
      <c r="AE824" t="s">
        <v>346</v>
      </c>
      <c r="AF824">
        <v>46.142674</v>
      </c>
      <c r="AG824">
        <v>-115.598088</v>
      </c>
      <c r="AH824">
        <v>15106563</v>
      </c>
      <c r="AI824">
        <f>17-68235</f>
        <v>-68218</v>
      </c>
    </row>
    <row r="825" spans="2:35">
      <c r="B825" t="s">
        <v>345</v>
      </c>
      <c r="C825" t="s">
        <v>1026</v>
      </c>
      <c r="D825" s="3">
        <v>42849.30972222222</v>
      </c>
      <c r="F825">
        <v>2017</v>
      </c>
      <c r="G825" t="s">
        <v>578</v>
      </c>
      <c r="H825" t="s">
        <v>352</v>
      </c>
      <c r="J825">
        <v>0</v>
      </c>
      <c r="L825">
        <v>1</v>
      </c>
      <c r="M825">
        <v>153</v>
      </c>
      <c r="N825">
        <v>35</v>
      </c>
      <c r="O825" t="s">
        <v>575</v>
      </c>
      <c r="Q825" t="s">
        <v>1041</v>
      </c>
      <c r="R825" t="s">
        <v>1028</v>
      </c>
      <c r="U825">
        <v>7</v>
      </c>
      <c r="V825">
        <v>7</v>
      </c>
      <c r="W825" t="s">
        <v>350</v>
      </c>
      <c r="X825" t="s">
        <v>349</v>
      </c>
      <c r="Y825" t="s">
        <v>580</v>
      </c>
      <c r="Z825">
        <v>2017</v>
      </c>
      <c r="AB825">
        <v>13</v>
      </c>
      <c r="AC825">
        <v>5.89</v>
      </c>
      <c r="AE825" t="s">
        <v>346</v>
      </c>
      <c r="AF825">
        <v>46.142674</v>
      </c>
      <c r="AG825">
        <v>-115.598088</v>
      </c>
      <c r="AH825">
        <v>15106564</v>
      </c>
      <c r="AI825">
        <f>17-68210</f>
        <v>-68193</v>
      </c>
    </row>
    <row r="826" spans="2:35">
      <c r="B826" t="s">
        <v>345</v>
      </c>
      <c r="C826" t="s">
        <v>1026</v>
      </c>
      <c r="D826" s="3">
        <v>42849.30972222222</v>
      </c>
      <c r="F826">
        <v>2017</v>
      </c>
      <c r="G826" t="s">
        <v>578</v>
      </c>
      <c r="H826" t="s">
        <v>352</v>
      </c>
      <c r="J826">
        <v>0</v>
      </c>
      <c r="L826">
        <v>1</v>
      </c>
      <c r="M826">
        <v>172</v>
      </c>
      <c r="N826">
        <v>42</v>
      </c>
      <c r="O826" t="s">
        <v>575</v>
      </c>
      <c r="Q826" t="s">
        <v>1042</v>
      </c>
      <c r="R826" t="s">
        <v>1028</v>
      </c>
      <c r="U826">
        <v>7</v>
      </c>
      <c r="V826">
        <v>7</v>
      </c>
      <c r="W826" t="s">
        <v>350</v>
      </c>
      <c r="X826" t="s">
        <v>349</v>
      </c>
      <c r="Y826" t="s">
        <v>580</v>
      </c>
      <c r="Z826">
        <v>2017</v>
      </c>
      <c r="AB826">
        <v>13</v>
      </c>
      <c r="AC826">
        <v>5.89</v>
      </c>
      <c r="AE826" t="s">
        <v>346</v>
      </c>
      <c r="AF826">
        <v>46.142674</v>
      </c>
      <c r="AG826">
        <v>-115.598088</v>
      </c>
      <c r="AH826">
        <v>15106565</v>
      </c>
      <c r="AI826">
        <f>17-68254</f>
        <v>-68237</v>
      </c>
    </row>
    <row r="827" spans="2:35">
      <c r="B827" t="s">
        <v>345</v>
      </c>
      <c r="C827" t="s">
        <v>1026</v>
      </c>
      <c r="D827" s="3">
        <v>42849.30972222222</v>
      </c>
      <c r="F827">
        <v>2017</v>
      </c>
      <c r="G827" t="s">
        <v>578</v>
      </c>
      <c r="H827" t="s">
        <v>352</v>
      </c>
      <c r="J827">
        <v>0</v>
      </c>
      <c r="L827">
        <v>1</v>
      </c>
      <c r="M827">
        <v>171</v>
      </c>
      <c r="N827">
        <v>43</v>
      </c>
      <c r="O827" t="s">
        <v>575</v>
      </c>
      <c r="Q827" t="s">
        <v>1043</v>
      </c>
      <c r="R827" t="s">
        <v>1028</v>
      </c>
      <c r="U827">
        <v>7</v>
      </c>
      <c r="V827">
        <v>7</v>
      </c>
      <c r="W827" t="s">
        <v>350</v>
      </c>
      <c r="X827" t="s">
        <v>349</v>
      </c>
      <c r="Y827" t="s">
        <v>580</v>
      </c>
      <c r="Z827">
        <v>2017</v>
      </c>
      <c r="AB827">
        <v>13</v>
      </c>
      <c r="AC827">
        <v>5.89</v>
      </c>
      <c r="AE827" t="s">
        <v>346</v>
      </c>
      <c r="AF827">
        <v>46.142674</v>
      </c>
      <c r="AG827">
        <v>-115.598088</v>
      </c>
      <c r="AH827">
        <v>15106566</v>
      </c>
      <c r="AI827">
        <f>17-68232</f>
        <v>-68215</v>
      </c>
    </row>
    <row r="828" spans="2:35">
      <c r="B828" t="s">
        <v>345</v>
      </c>
      <c r="C828" t="s">
        <v>1026</v>
      </c>
      <c r="D828" s="3">
        <v>42849.30972222222</v>
      </c>
      <c r="F828">
        <v>2017</v>
      </c>
      <c r="G828" t="s">
        <v>578</v>
      </c>
      <c r="H828" t="s">
        <v>352</v>
      </c>
      <c r="J828">
        <v>0</v>
      </c>
      <c r="L828">
        <v>1</v>
      </c>
      <c r="M828">
        <v>196</v>
      </c>
      <c r="N828">
        <v>73</v>
      </c>
      <c r="O828" t="s">
        <v>575</v>
      </c>
      <c r="Q828" t="s">
        <v>1044</v>
      </c>
      <c r="R828" t="s">
        <v>1028</v>
      </c>
      <c r="U828">
        <v>7</v>
      </c>
      <c r="V828">
        <v>7</v>
      </c>
      <c r="W828" t="s">
        <v>350</v>
      </c>
      <c r="X828" t="s">
        <v>349</v>
      </c>
      <c r="Y828" t="s">
        <v>580</v>
      </c>
      <c r="Z828">
        <v>2017</v>
      </c>
      <c r="AB828">
        <v>13</v>
      </c>
      <c r="AC828">
        <v>5.89</v>
      </c>
      <c r="AE828" t="s">
        <v>346</v>
      </c>
      <c r="AF828">
        <v>46.142674</v>
      </c>
      <c r="AG828">
        <v>-115.598088</v>
      </c>
      <c r="AH828">
        <v>15106567</v>
      </c>
      <c r="AI828">
        <f>17-68245</f>
        <v>-68228</v>
      </c>
    </row>
    <row r="829" spans="2:35">
      <c r="B829" t="s">
        <v>345</v>
      </c>
      <c r="C829" t="s">
        <v>1026</v>
      </c>
      <c r="D829" s="3">
        <v>42849.30972222222</v>
      </c>
      <c r="F829">
        <v>2017</v>
      </c>
      <c r="G829" t="s">
        <v>578</v>
      </c>
      <c r="H829" t="s">
        <v>352</v>
      </c>
      <c r="J829">
        <v>0</v>
      </c>
      <c r="L829">
        <v>1</v>
      </c>
      <c r="M829">
        <v>162</v>
      </c>
      <c r="N829">
        <v>36</v>
      </c>
      <c r="O829" t="s">
        <v>575</v>
      </c>
      <c r="Q829" t="s">
        <v>1045</v>
      </c>
      <c r="R829" t="s">
        <v>1028</v>
      </c>
      <c r="U829">
        <v>7</v>
      </c>
      <c r="V829">
        <v>7</v>
      </c>
      <c r="W829" t="s">
        <v>350</v>
      </c>
      <c r="X829" t="s">
        <v>349</v>
      </c>
      <c r="Y829" t="s">
        <v>580</v>
      </c>
      <c r="Z829">
        <v>2017</v>
      </c>
      <c r="AB829">
        <v>13</v>
      </c>
      <c r="AC829">
        <v>5.89</v>
      </c>
      <c r="AE829" t="s">
        <v>346</v>
      </c>
      <c r="AF829">
        <v>46.142674</v>
      </c>
      <c r="AG829">
        <v>-115.598088</v>
      </c>
      <c r="AH829">
        <v>15106568</v>
      </c>
      <c r="AI829">
        <f>17-68208</f>
        <v>-68191</v>
      </c>
    </row>
    <row r="830" spans="2:35">
      <c r="B830" t="s">
        <v>345</v>
      </c>
      <c r="C830" t="s">
        <v>1026</v>
      </c>
      <c r="D830" s="3">
        <v>42849.30972222222</v>
      </c>
      <c r="F830">
        <v>2017</v>
      </c>
      <c r="G830" t="s">
        <v>578</v>
      </c>
      <c r="H830" t="s">
        <v>352</v>
      </c>
      <c r="J830">
        <v>0</v>
      </c>
      <c r="L830">
        <v>1</v>
      </c>
      <c r="M830">
        <v>201</v>
      </c>
      <c r="N830">
        <v>69</v>
      </c>
      <c r="O830" t="s">
        <v>575</v>
      </c>
      <c r="Q830" t="s">
        <v>1046</v>
      </c>
      <c r="R830" t="s">
        <v>1028</v>
      </c>
      <c r="U830">
        <v>7</v>
      </c>
      <c r="V830">
        <v>7</v>
      </c>
      <c r="W830" t="s">
        <v>350</v>
      </c>
      <c r="X830" t="s">
        <v>349</v>
      </c>
      <c r="Y830" t="s">
        <v>580</v>
      </c>
      <c r="Z830">
        <v>2017</v>
      </c>
      <c r="AB830">
        <v>13</v>
      </c>
      <c r="AC830">
        <v>5.89</v>
      </c>
      <c r="AE830" t="s">
        <v>346</v>
      </c>
      <c r="AF830">
        <v>46.142674</v>
      </c>
      <c r="AG830">
        <v>-115.598088</v>
      </c>
      <c r="AH830">
        <v>15106569</v>
      </c>
      <c r="AI830">
        <f>17-68212</f>
        <v>-68195</v>
      </c>
    </row>
    <row r="831" spans="2:35">
      <c r="B831" t="s">
        <v>345</v>
      </c>
      <c r="C831" t="s">
        <v>1026</v>
      </c>
      <c r="D831" s="3">
        <v>42849.30972222222</v>
      </c>
      <c r="F831">
        <v>2017</v>
      </c>
      <c r="G831" t="s">
        <v>578</v>
      </c>
      <c r="H831" t="s">
        <v>352</v>
      </c>
      <c r="J831">
        <v>0</v>
      </c>
      <c r="L831">
        <v>1</v>
      </c>
      <c r="M831">
        <v>162</v>
      </c>
      <c r="N831">
        <v>39</v>
      </c>
      <c r="O831" t="s">
        <v>575</v>
      </c>
      <c r="Q831" t="s">
        <v>1047</v>
      </c>
      <c r="R831" t="s">
        <v>1028</v>
      </c>
      <c r="U831">
        <v>7</v>
      </c>
      <c r="V831">
        <v>7</v>
      </c>
      <c r="W831" t="s">
        <v>350</v>
      </c>
      <c r="X831" t="s">
        <v>349</v>
      </c>
      <c r="Y831" t="s">
        <v>580</v>
      </c>
      <c r="Z831">
        <v>2017</v>
      </c>
      <c r="AB831">
        <v>13</v>
      </c>
      <c r="AC831">
        <v>5.89</v>
      </c>
      <c r="AE831" t="s">
        <v>346</v>
      </c>
      <c r="AF831">
        <v>46.142674</v>
      </c>
      <c r="AG831">
        <v>-115.598088</v>
      </c>
      <c r="AH831">
        <v>15106570</v>
      </c>
      <c r="AI831">
        <f>17-68240</f>
        <v>-68223</v>
      </c>
    </row>
    <row r="832" spans="2:35">
      <c r="B832" t="s">
        <v>345</v>
      </c>
      <c r="C832" t="s">
        <v>1026</v>
      </c>
      <c r="D832" s="3">
        <v>42849.30972222222</v>
      </c>
      <c r="F832">
        <v>2017</v>
      </c>
      <c r="G832" t="s">
        <v>578</v>
      </c>
      <c r="H832" t="s">
        <v>352</v>
      </c>
      <c r="J832">
        <v>0</v>
      </c>
      <c r="L832">
        <v>1</v>
      </c>
      <c r="M832">
        <v>186</v>
      </c>
      <c r="N832">
        <v>57</v>
      </c>
      <c r="O832" t="s">
        <v>575</v>
      </c>
      <c r="Q832" t="s">
        <v>1048</v>
      </c>
      <c r="R832" t="s">
        <v>1028</v>
      </c>
      <c r="U832">
        <v>7</v>
      </c>
      <c r="V832">
        <v>7</v>
      </c>
      <c r="W832" t="s">
        <v>350</v>
      </c>
      <c r="X832" t="s">
        <v>349</v>
      </c>
      <c r="Y832" t="s">
        <v>580</v>
      </c>
      <c r="Z832">
        <v>2017</v>
      </c>
      <c r="AB832">
        <v>13</v>
      </c>
      <c r="AC832">
        <v>5.89</v>
      </c>
      <c r="AE832" t="s">
        <v>346</v>
      </c>
      <c r="AF832">
        <v>46.142674</v>
      </c>
      <c r="AG832">
        <v>-115.598088</v>
      </c>
      <c r="AH832">
        <v>15106571</v>
      </c>
      <c r="AI832">
        <f>17-68229</f>
        <v>-68212</v>
      </c>
    </row>
    <row r="833" spans="2:35">
      <c r="B833" t="s">
        <v>345</v>
      </c>
      <c r="C833" t="s">
        <v>1026</v>
      </c>
      <c r="D833" s="3">
        <v>42849.30972222222</v>
      </c>
      <c r="F833">
        <v>2017</v>
      </c>
      <c r="G833" t="s">
        <v>578</v>
      </c>
      <c r="H833" t="s">
        <v>352</v>
      </c>
      <c r="J833">
        <v>0</v>
      </c>
      <c r="L833">
        <v>1</v>
      </c>
      <c r="M833">
        <v>189</v>
      </c>
      <c r="N833">
        <v>55</v>
      </c>
      <c r="O833" t="s">
        <v>575</v>
      </c>
      <c r="P833" t="s">
        <v>373</v>
      </c>
      <c r="Q833" t="s">
        <v>1049</v>
      </c>
      <c r="R833" t="s">
        <v>1028</v>
      </c>
      <c r="U833">
        <v>7</v>
      </c>
      <c r="V833">
        <v>7</v>
      </c>
      <c r="W833" t="s">
        <v>350</v>
      </c>
      <c r="X833" t="s">
        <v>349</v>
      </c>
      <c r="Y833" t="s">
        <v>580</v>
      </c>
      <c r="Z833">
        <v>2017</v>
      </c>
      <c r="AB833">
        <v>13</v>
      </c>
      <c r="AC833">
        <v>5.89</v>
      </c>
      <c r="AE833" t="s">
        <v>346</v>
      </c>
      <c r="AF833">
        <v>46.142674</v>
      </c>
      <c r="AG833">
        <v>-115.598088</v>
      </c>
      <c r="AH833">
        <v>15106572</v>
      </c>
      <c r="AI833">
        <f>17-68244</f>
        <v>-68227</v>
      </c>
    </row>
    <row r="834" spans="2:35">
      <c r="B834" t="s">
        <v>345</v>
      </c>
      <c r="C834" t="s">
        <v>1026</v>
      </c>
      <c r="D834" s="3">
        <v>42849.30972222222</v>
      </c>
      <c r="F834">
        <v>2017</v>
      </c>
      <c r="G834" t="s">
        <v>578</v>
      </c>
      <c r="H834" t="s">
        <v>352</v>
      </c>
      <c r="J834">
        <v>0</v>
      </c>
      <c r="L834">
        <v>1</v>
      </c>
      <c r="M834">
        <v>184</v>
      </c>
      <c r="N834">
        <v>55</v>
      </c>
      <c r="O834" t="s">
        <v>575</v>
      </c>
      <c r="Q834" t="s">
        <v>1050</v>
      </c>
      <c r="R834" t="s">
        <v>1028</v>
      </c>
      <c r="U834">
        <v>7</v>
      </c>
      <c r="V834">
        <v>7</v>
      </c>
      <c r="W834" t="s">
        <v>350</v>
      </c>
      <c r="X834" t="s">
        <v>349</v>
      </c>
      <c r="Y834" t="s">
        <v>580</v>
      </c>
      <c r="Z834">
        <v>2017</v>
      </c>
      <c r="AB834">
        <v>13</v>
      </c>
      <c r="AC834">
        <v>5.89</v>
      </c>
      <c r="AE834" t="s">
        <v>346</v>
      </c>
      <c r="AF834">
        <v>46.142674</v>
      </c>
      <c r="AG834">
        <v>-115.598088</v>
      </c>
      <c r="AH834">
        <v>15106573</v>
      </c>
      <c r="AI834">
        <f>17-68255</f>
        <v>-68238</v>
      </c>
    </row>
    <row r="835" spans="2:35">
      <c r="B835" t="s">
        <v>345</v>
      </c>
      <c r="C835" t="s">
        <v>1026</v>
      </c>
      <c r="D835" s="3">
        <v>42849.30972222222</v>
      </c>
      <c r="F835">
        <v>2017</v>
      </c>
      <c r="G835" t="s">
        <v>578</v>
      </c>
      <c r="H835" t="s">
        <v>352</v>
      </c>
      <c r="J835">
        <v>0</v>
      </c>
      <c r="L835">
        <v>1</v>
      </c>
      <c r="M835">
        <v>180</v>
      </c>
      <c r="N835">
        <v>55</v>
      </c>
      <c r="O835" t="s">
        <v>575</v>
      </c>
      <c r="Q835" t="s">
        <v>1051</v>
      </c>
      <c r="R835" t="s">
        <v>1028</v>
      </c>
      <c r="U835">
        <v>7</v>
      </c>
      <c r="V835">
        <v>7</v>
      </c>
      <c r="W835" t="s">
        <v>350</v>
      </c>
      <c r="X835" t="s">
        <v>349</v>
      </c>
      <c r="Y835" t="s">
        <v>580</v>
      </c>
      <c r="Z835">
        <v>2017</v>
      </c>
      <c r="AB835">
        <v>13</v>
      </c>
      <c r="AC835">
        <v>5.89</v>
      </c>
      <c r="AE835" t="s">
        <v>346</v>
      </c>
      <c r="AF835">
        <v>46.142674</v>
      </c>
      <c r="AG835">
        <v>-115.598088</v>
      </c>
      <c r="AH835">
        <v>15106574</v>
      </c>
      <c r="AI835">
        <f>17-68224</f>
        <v>-68207</v>
      </c>
    </row>
    <row r="836" spans="2:35">
      <c r="B836" t="s">
        <v>345</v>
      </c>
      <c r="C836" t="s">
        <v>1026</v>
      </c>
      <c r="D836" s="3">
        <v>42849.30972222222</v>
      </c>
      <c r="F836">
        <v>2017</v>
      </c>
      <c r="G836" t="s">
        <v>578</v>
      </c>
      <c r="H836" t="s">
        <v>352</v>
      </c>
      <c r="J836">
        <v>0</v>
      </c>
      <c r="L836">
        <v>1</v>
      </c>
      <c r="M836">
        <v>156</v>
      </c>
      <c r="N836">
        <v>34</v>
      </c>
      <c r="O836" t="s">
        <v>575</v>
      </c>
      <c r="Q836" t="s">
        <v>1052</v>
      </c>
      <c r="R836" t="s">
        <v>1028</v>
      </c>
      <c r="U836">
        <v>7</v>
      </c>
      <c r="V836">
        <v>7</v>
      </c>
      <c r="W836" t="s">
        <v>350</v>
      </c>
      <c r="X836" t="s">
        <v>349</v>
      </c>
      <c r="Y836" t="s">
        <v>580</v>
      </c>
      <c r="Z836">
        <v>2017</v>
      </c>
      <c r="AB836">
        <v>13</v>
      </c>
      <c r="AC836">
        <v>5.89</v>
      </c>
      <c r="AE836" t="s">
        <v>346</v>
      </c>
      <c r="AF836">
        <v>46.142674</v>
      </c>
      <c r="AG836">
        <v>-115.598088</v>
      </c>
      <c r="AH836">
        <v>15106575</v>
      </c>
      <c r="AI836">
        <f>17-68252</f>
        <v>-68235</v>
      </c>
    </row>
    <row r="837" spans="2:35">
      <c r="B837" t="s">
        <v>345</v>
      </c>
      <c r="C837" t="s">
        <v>1026</v>
      </c>
      <c r="D837" s="3">
        <v>42849.30972222222</v>
      </c>
      <c r="F837">
        <v>2017</v>
      </c>
      <c r="G837" t="s">
        <v>578</v>
      </c>
      <c r="H837" t="s">
        <v>352</v>
      </c>
      <c r="J837">
        <v>0</v>
      </c>
      <c r="L837">
        <v>1</v>
      </c>
      <c r="M837">
        <v>206</v>
      </c>
      <c r="N837">
        <v>76</v>
      </c>
      <c r="O837" t="s">
        <v>575</v>
      </c>
      <c r="Q837" t="s">
        <v>1053</v>
      </c>
      <c r="R837" t="s">
        <v>1028</v>
      </c>
      <c r="U837">
        <v>7</v>
      </c>
      <c r="V837">
        <v>7</v>
      </c>
      <c r="W837" t="s">
        <v>350</v>
      </c>
      <c r="X837" t="s">
        <v>349</v>
      </c>
      <c r="Y837" t="s">
        <v>580</v>
      </c>
      <c r="Z837">
        <v>2017</v>
      </c>
      <c r="AB837">
        <v>13</v>
      </c>
      <c r="AC837">
        <v>5.89</v>
      </c>
      <c r="AE837" t="s">
        <v>346</v>
      </c>
      <c r="AF837">
        <v>46.142674</v>
      </c>
      <c r="AG837">
        <v>-115.598088</v>
      </c>
      <c r="AH837">
        <v>15106576</v>
      </c>
      <c r="AI837">
        <f>17-68222</f>
        <v>-68205</v>
      </c>
    </row>
    <row r="838" spans="2:35">
      <c r="B838" t="s">
        <v>345</v>
      </c>
      <c r="C838" t="s">
        <v>1026</v>
      </c>
      <c r="D838" s="3">
        <v>42849.30972222222</v>
      </c>
      <c r="F838">
        <v>2017</v>
      </c>
      <c r="G838" t="s">
        <v>578</v>
      </c>
      <c r="H838" t="s">
        <v>352</v>
      </c>
      <c r="J838">
        <v>0</v>
      </c>
      <c r="L838">
        <v>1</v>
      </c>
      <c r="M838">
        <v>160</v>
      </c>
      <c r="N838">
        <v>36</v>
      </c>
      <c r="O838" t="s">
        <v>575</v>
      </c>
      <c r="Q838" t="s">
        <v>1054</v>
      </c>
      <c r="R838" t="s">
        <v>1028</v>
      </c>
      <c r="U838">
        <v>7</v>
      </c>
      <c r="V838">
        <v>7</v>
      </c>
      <c r="W838" t="s">
        <v>350</v>
      </c>
      <c r="X838" t="s">
        <v>349</v>
      </c>
      <c r="Y838" t="s">
        <v>580</v>
      </c>
      <c r="Z838">
        <v>2017</v>
      </c>
      <c r="AB838">
        <v>13</v>
      </c>
      <c r="AC838">
        <v>5.89</v>
      </c>
      <c r="AE838" t="s">
        <v>346</v>
      </c>
      <c r="AF838">
        <v>46.142674</v>
      </c>
      <c r="AG838">
        <v>-115.598088</v>
      </c>
      <c r="AH838">
        <v>15106577</v>
      </c>
      <c r="AI838">
        <f>17-68250</f>
        <v>-68233</v>
      </c>
    </row>
    <row r="839" spans="2:35">
      <c r="B839" t="s">
        <v>345</v>
      </c>
      <c r="C839" t="s">
        <v>1026</v>
      </c>
      <c r="D839" s="3">
        <v>42849.30972222222</v>
      </c>
      <c r="F839">
        <v>2017</v>
      </c>
      <c r="G839" t="s">
        <v>578</v>
      </c>
      <c r="H839" t="s">
        <v>352</v>
      </c>
      <c r="J839">
        <v>0</v>
      </c>
      <c r="L839">
        <v>1</v>
      </c>
      <c r="M839">
        <v>155</v>
      </c>
      <c r="N839">
        <v>36</v>
      </c>
      <c r="O839" t="s">
        <v>575</v>
      </c>
      <c r="Q839" t="s">
        <v>1055</v>
      </c>
      <c r="R839" t="s">
        <v>1028</v>
      </c>
      <c r="U839">
        <v>7</v>
      </c>
      <c r="V839">
        <v>7</v>
      </c>
      <c r="W839" t="s">
        <v>350</v>
      </c>
      <c r="X839" t="s">
        <v>349</v>
      </c>
      <c r="Y839" t="s">
        <v>580</v>
      </c>
      <c r="Z839">
        <v>2017</v>
      </c>
      <c r="AB839">
        <v>13</v>
      </c>
      <c r="AC839">
        <v>5.89</v>
      </c>
      <c r="AE839" t="s">
        <v>346</v>
      </c>
      <c r="AF839">
        <v>46.142674</v>
      </c>
      <c r="AG839">
        <v>-115.598088</v>
      </c>
      <c r="AH839">
        <v>15106578</v>
      </c>
      <c r="AI839">
        <f>17-68241</f>
        <v>-68224</v>
      </c>
    </row>
    <row r="840" spans="2:35">
      <c r="B840" t="s">
        <v>345</v>
      </c>
      <c r="C840" t="s">
        <v>1026</v>
      </c>
      <c r="D840" s="3">
        <v>42849.30972222222</v>
      </c>
      <c r="F840">
        <v>2017</v>
      </c>
      <c r="G840" t="s">
        <v>578</v>
      </c>
      <c r="H840" t="s">
        <v>352</v>
      </c>
      <c r="J840">
        <v>0</v>
      </c>
      <c r="L840">
        <v>1</v>
      </c>
      <c r="M840">
        <v>163</v>
      </c>
      <c r="N840">
        <v>40</v>
      </c>
      <c r="O840" t="s">
        <v>575</v>
      </c>
      <c r="Q840" t="s">
        <v>1056</v>
      </c>
      <c r="R840" t="s">
        <v>1028</v>
      </c>
      <c r="U840">
        <v>7</v>
      </c>
      <c r="V840">
        <v>7</v>
      </c>
      <c r="W840" t="s">
        <v>350</v>
      </c>
      <c r="X840" t="s">
        <v>349</v>
      </c>
      <c r="Y840" t="s">
        <v>580</v>
      </c>
      <c r="Z840">
        <v>2017</v>
      </c>
      <c r="AB840">
        <v>13</v>
      </c>
      <c r="AC840">
        <v>5.89</v>
      </c>
      <c r="AE840" t="s">
        <v>346</v>
      </c>
      <c r="AF840">
        <v>46.142674</v>
      </c>
      <c r="AG840">
        <v>-115.598088</v>
      </c>
      <c r="AH840">
        <v>15106579</v>
      </c>
      <c r="AI840">
        <f>17-68218</f>
        <v>-68201</v>
      </c>
    </row>
    <row r="841" spans="2:35">
      <c r="B841" t="s">
        <v>345</v>
      </c>
      <c r="C841" t="s">
        <v>1026</v>
      </c>
      <c r="D841" s="3">
        <v>42849.30972222222</v>
      </c>
      <c r="F841">
        <v>2017</v>
      </c>
      <c r="G841" t="s">
        <v>578</v>
      </c>
      <c r="H841" t="s">
        <v>352</v>
      </c>
      <c r="J841">
        <v>0</v>
      </c>
      <c r="L841">
        <v>1</v>
      </c>
      <c r="M841">
        <v>178</v>
      </c>
      <c r="N841">
        <v>48</v>
      </c>
      <c r="O841" t="s">
        <v>575</v>
      </c>
      <c r="Q841" t="s">
        <v>1057</v>
      </c>
      <c r="R841" t="s">
        <v>1028</v>
      </c>
      <c r="U841">
        <v>7</v>
      </c>
      <c r="V841">
        <v>7</v>
      </c>
      <c r="W841" t="s">
        <v>350</v>
      </c>
      <c r="X841" t="s">
        <v>349</v>
      </c>
      <c r="Y841" t="s">
        <v>580</v>
      </c>
      <c r="Z841">
        <v>2017</v>
      </c>
      <c r="AB841">
        <v>13</v>
      </c>
      <c r="AC841">
        <v>5.89</v>
      </c>
      <c r="AE841" t="s">
        <v>346</v>
      </c>
      <c r="AF841">
        <v>46.142674</v>
      </c>
      <c r="AG841">
        <v>-115.598088</v>
      </c>
      <c r="AH841">
        <v>15106580</v>
      </c>
      <c r="AI841">
        <f>17-68248</f>
        <v>-68231</v>
      </c>
    </row>
    <row r="842" spans="2:35">
      <c r="B842" t="s">
        <v>345</v>
      </c>
      <c r="C842" t="s">
        <v>1026</v>
      </c>
      <c r="D842" s="3">
        <v>42849.30972222222</v>
      </c>
      <c r="F842">
        <v>2017</v>
      </c>
      <c r="G842" t="s">
        <v>578</v>
      </c>
      <c r="H842" t="s">
        <v>352</v>
      </c>
      <c r="J842">
        <v>0</v>
      </c>
      <c r="L842">
        <v>1</v>
      </c>
      <c r="M842">
        <v>149</v>
      </c>
      <c r="N842">
        <v>31</v>
      </c>
      <c r="O842" t="s">
        <v>575</v>
      </c>
      <c r="Q842" t="s">
        <v>1058</v>
      </c>
      <c r="R842" t="s">
        <v>1028</v>
      </c>
      <c r="U842">
        <v>7</v>
      </c>
      <c r="V842">
        <v>7</v>
      </c>
      <c r="W842" t="s">
        <v>350</v>
      </c>
      <c r="X842" t="s">
        <v>349</v>
      </c>
      <c r="Y842" t="s">
        <v>580</v>
      </c>
      <c r="Z842">
        <v>2017</v>
      </c>
      <c r="AB842">
        <v>13</v>
      </c>
      <c r="AC842">
        <v>5.89</v>
      </c>
      <c r="AE842" t="s">
        <v>346</v>
      </c>
      <c r="AF842">
        <v>46.142674</v>
      </c>
      <c r="AG842">
        <v>-115.598088</v>
      </c>
      <c r="AH842">
        <v>15106581</v>
      </c>
      <c r="AI842">
        <f>17-68207</f>
        <v>-68190</v>
      </c>
    </row>
    <row r="843" spans="2:35">
      <c r="B843" t="s">
        <v>345</v>
      </c>
      <c r="C843" t="s">
        <v>1026</v>
      </c>
      <c r="D843" s="3">
        <v>42849.30972222222</v>
      </c>
      <c r="F843">
        <v>2017</v>
      </c>
      <c r="G843" t="s">
        <v>578</v>
      </c>
      <c r="H843" t="s">
        <v>352</v>
      </c>
      <c r="J843">
        <v>0</v>
      </c>
      <c r="L843">
        <v>1</v>
      </c>
      <c r="M843">
        <v>201</v>
      </c>
      <c r="N843">
        <v>78</v>
      </c>
      <c r="O843" t="s">
        <v>575</v>
      </c>
      <c r="Q843" t="s">
        <v>1059</v>
      </c>
      <c r="R843" t="s">
        <v>1028</v>
      </c>
      <c r="U843">
        <v>7</v>
      </c>
      <c r="V843">
        <v>7</v>
      </c>
      <c r="W843" t="s">
        <v>350</v>
      </c>
      <c r="X843" t="s">
        <v>349</v>
      </c>
      <c r="Y843" t="s">
        <v>580</v>
      </c>
      <c r="Z843">
        <v>2017</v>
      </c>
      <c r="AB843">
        <v>13</v>
      </c>
      <c r="AC843">
        <v>5.89</v>
      </c>
      <c r="AE843" t="s">
        <v>346</v>
      </c>
      <c r="AF843">
        <v>46.142674</v>
      </c>
      <c r="AG843">
        <v>-115.598088</v>
      </c>
      <c r="AH843">
        <v>15106582</v>
      </c>
      <c r="AI843">
        <f>17-68237</f>
        <v>-68220</v>
      </c>
    </row>
    <row r="844" spans="2:35">
      <c r="B844" t="s">
        <v>345</v>
      </c>
      <c r="C844" t="s">
        <v>1026</v>
      </c>
      <c r="D844" s="3">
        <v>42849.30972222222</v>
      </c>
      <c r="F844">
        <v>2017</v>
      </c>
      <c r="G844" t="s">
        <v>578</v>
      </c>
      <c r="H844" t="s">
        <v>352</v>
      </c>
      <c r="J844">
        <v>0</v>
      </c>
      <c r="L844">
        <v>1</v>
      </c>
      <c r="M844">
        <v>166</v>
      </c>
      <c r="N844">
        <v>38</v>
      </c>
      <c r="O844" t="s">
        <v>575</v>
      </c>
      <c r="Q844" t="s">
        <v>1060</v>
      </c>
      <c r="R844" t="s">
        <v>1028</v>
      </c>
      <c r="U844">
        <v>7</v>
      </c>
      <c r="V844">
        <v>7</v>
      </c>
      <c r="W844" t="s">
        <v>350</v>
      </c>
      <c r="X844" t="s">
        <v>349</v>
      </c>
      <c r="Y844" t="s">
        <v>580</v>
      </c>
      <c r="Z844">
        <v>2017</v>
      </c>
      <c r="AB844">
        <v>13</v>
      </c>
      <c r="AC844">
        <v>5.89</v>
      </c>
      <c r="AE844" t="s">
        <v>346</v>
      </c>
      <c r="AF844">
        <v>46.142674</v>
      </c>
      <c r="AG844">
        <v>-115.598088</v>
      </c>
      <c r="AH844">
        <v>15106583</v>
      </c>
      <c r="AI844">
        <f>17-68243</f>
        <v>-68226</v>
      </c>
    </row>
    <row r="845" spans="2:35">
      <c r="B845" t="s">
        <v>345</v>
      </c>
      <c r="C845" t="s">
        <v>1026</v>
      </c>
      <c r="D845" s="3">
        <v>42849.30972222222</v>
      </c>
      <c r="F845">
        <v>2017</v>
      </c>
      <c r="G845" t="s">
        <v>578</v>
      </c>
      <c r="H845" t="s">
        <v>352</v>
      </c>
      <c r="J845">
        <v>0</v>
      </c>
      <c r="L845">
        <v>1</v>
      </c>
      <c r="M845">
        <v>179</v>
      </c>
      <c r="N845">
        <v>52</v>
      </c>
      <c r="O845" t="s">
        <v>575</v>
      </c>
      <c r="Q845" t="s">
        <v>1061</v>
      </c>
      <c r="R845" t="s">
        <v>1028</v>
      </c>
      <c r="U845">
        <v>7</v>
      </c>
      <c r="V845">
        <v>7</v>
      </c>
      <c r="W845" t="s">
        <v>350</v>
      </c>
      <c r="X845" t="s">
        <v>349</v>
      </c>
      <c r="Y845" t="s">
        <v>580</v>
      </c>
      <c r="Z845">
        <v>2017</v>
      </c>
      <c r="AB845">
        <v>13</v>
      </c>
      <c r="AC845">
        <v>5.89</v>
      </c>
      <c r="AE845" t="s">
        <v>346</v>
      </c>
      <c r="AF845">
        <v>46.142674</v>
      </c>
      <c r="AG845">
        <v>-115.598088</v>
      </c>
      <c r="AH845">
        <v>15106584</v>
      </c>
      <c r="AI845">
        <f>17-68249</f>
        <v>-68232</v>
      </c>
    </row>
    <row r="846" spans="2:35">
      <c r="B846" t="s">
        <v>345</v>
      </c>
      <c r="C846" t="s">
        <v>1026</v>
      </c>
      <c r="D846" s="3">
        <v>42849.30972222222</v>
      </c>
      <c r="F846">
        <v>2017</v>
      </c>
      <c r="G846" t="s">
        <v>578</v>
      </c>
      <c r="H846" t="s">
        <v>352</v>
      </c>
      <c r="J846">
        <v>0</v>
      </c>
      <c r="L846">
        <v>1</v>
      </c>
      <c r="M846">
        <v>165</v>
      </c>
      <c r="N846">
        <v>38</v>
      </c>
      <c r="O846" t="s">
        <v>575</v>
      </c>
      <c r="Q846" t="s">
        <v>1062</v>
      </c>
      <c r="R846" t="s">
        <v>1028</v>
      </c>
      <c r="U846">
        <v>7</v>
      </c>
      <c r="V846">
        <v>7</v>
      </c>
      <c r="W846" t="s">
        <v>350</v>
      </c>
      <c r="X846" t="s">
        <v>349</v>
      </c>
      <c r="Y846" t="s">
        <v>580</v>
      </c>
      <c r="Z846">
        <v>2017</v>
      </c>
      <c r="AB846">
        <v>13</v>
      </c>
      <c r="AC846">
        <v>5.89</v>
      </c>
      <c r="AE846" t="s">
        <v>346</v>
      </c>
      <c r="AF846">
        <v>46.142674</v>
      </c>
      <c r="AG846">
        <v>-115.598088</v>
      </c>
      <c r="AH846">
        <v>15106585</v>
      </c>
      <c r="AI846">
        <f>17-68209</f>
        <v>-68192</v>
      </c>
    </row>
    <row r="847" spans="2:35">
      <c r="B847" t="s">
        <v>345</v>
      </c>
      <c r="C847" t="s">
        <v>1026</v>
      </c>
      <c r="D847" s="3">
        <v>42849.30972222222</v>
      </c>
      <c r="F847">
        <v>2017</v>
      </c>
      <c r="G847" t="s">
        <v>578</v>
      </c>
      <c r="H847" t="s">
        <v>352</v>
      </c>
      <c r="J847">
        <v>0</v>
      </c>
      <c r="L847">
        <v>1</v>
      </c>
      <c r="M847">
        <v>169</v>
      </c>
      <c r="N847">
        <v>47</v>
      </c>
      <c r="O847" t="s">
        <v>575</v>
      </c>
      <c r="Q847" t="s">
        <v>1063</v>
      </c>
      <c r="R847" t="s">
        <v>1028</v>
      </c>
      <c r="U847">
        <v>7</v>
      </c>
      <c r="V847">
        <v>7</v>
      </c>
      <c r="W847" t="s">
        <v>350</v>
      </c>
      <c r="X847" t="s">
        <v>349</v>
      </c>
      <c r="Y847" t="s">
        <v>580</v>
      </c>
      <c r="Z847">
        <v>2017</v>
      </c>
      <c r="AB847">
        <v>13</v>
      </c>
      <c r="AC847">
        <v>5.89</v>
      </c>
      <c r="AE847" t="s">
        <v>346</v>
      </c>
      <c r="AF847">
        <v>46.142674</v>
      </c>
      <c r="AG847">
        <v>-115.598088</v>
      </c>
      <c r="AH847">
        <v>15106586</v>
      </c>
      <c r="AI847">
        <f>17-68211</f>
        <v>-68194</v>
      </c>
    </row>
    <row r="848" spans="2:35">
      <c r="B848" t="s">
        <v>345</v>
      </c>
      <c r="C848" t="s">
        <v>1026</v>
      </c>
      <c r="D848" s="3">
        <v>42849.30972222222</v>
      </c>
      <c r="F848">
        <v>2017</v>
      </c>
      <c r="G848" t="s">
        <v>578</v>
      </c>
      <c r="H848" t="s">
        <v>352</v>
      </c>
      <c r="J848">
        <v>0</v>
      </c>
      <c r="L848">
        <v>1</v>
      </c>
      <c r="M848">
        <v>195</v>
      </c>
      <c r="N848">
        <v>70</v>
      </c>
      <c r="O848" t="s">
        <v>575</v>
      </c>
      <c r="Q848" t="s">
        <v>1064</v>
      </c>
      <c r="R848" t="s">
        <v>1028</v>
      </c>
      <c r="U848">
        <v>7</v>
      </c>
      <c r="V848">
        <v>7</v>
      </c>
      <c r="W848" t="s">
        <v>350</v>
      </c>
      <c r="X848" t="s">
        <v>349</v>
      </c>
      <c r="Y848" t="s">
        <v>580</v>
      </c>
      <c r="Z848">
        <v>2017</v>
      </c>
      <c r="AB848">
        <v>13</v>
      </c>
      <c r="AC848">
        <v>5.89</v>
      </c>
      <c r="AE848" t="s">
        <v>346</v>
      </c>
      <c r="AF848">
        <v>46.142674</v>
      </c>
      <c r="AG848">
        <v>-115.598088</v>
      </c>
      <c r="AH848">
        <v>15106587</v>
      </c>
      <c r="AI848">
        <f>17-68227</f>
        <v>-68210</v>
      </c>
    </row>
    <row r="849" spans="2:35">
      <c r="B849" t="s">
        <v>345</v>
      </c>
      <c r="C849" t="s">
        <v>1026</v>
      </c>
      <c r="D849" s="3">
        <v>42849.30972222222</v>
      </c>
      <c r="F849">
        <v>2017</v>
      </c>
      <c r="G849" t="s">
        <v>578</v>
      </c>
      <c r="H849" t="s">
        <v>352</v>
      </c>
      <c r="J849">
        <v>0</v>
      </c>
      <c r="L849">
        <v>1</v>
      </c>
      <c r="M849">
        <v>179</v>
      </c>
      <c r="N849">
        <v>51</v>
      </c>
      <c r="O849" t="s">
        <v>575</v>
      </c>
      <c r="Q849" t="s">
        <v>1065</v>
      </c>
      <c r="R849" t="s">
        <v>1028</v>
      </c>
      <c r="U849">
        <v>7</v>
      </c>
      <c r="V849">
        <v>7</v>
      </c>
      <c r="W849" t="s">
        <v>350</v>
      </c>
      <c r="X849" t="s">
        <v>349</v>
      </c>
      <c r="Y849" t="s">
        <v>580</v>
      </c>
      <c r="Z849">
        <v>2017</v>
      </c>
      <c r="AB849">
        <v>13</v>
      </c>
      <c r="AC849">
        <v>5.89</v>
      </c>
      <c r="AE849" t="s">
        <v>346</v>
      </c>
      <c r="AF849">
        <v>46.142674</v>
      </c>
      <c r="AG849">
        <v>-115.598088</v>
      </c>
      <c r="AH849">
        <v>15106588</v>
      </c>
      <c r="AI849">
        <f>17-68206</f>
        <v>-68189</v>
      </c>
    </row>
    <row r="850" spans="2:35">
      <c r="B850" t="s">
        <v>345</v>
      </c>
      <c r="C850" t="s">
        <v>1026</v>
      </c>
      <c r="D850" s="3">
        <v>42849.30972222222</v>
      </c>
      <c r="F850">
        <v>2017</v>
      </c>
      <c r="G850" t="s">
        <v>578</v>
      </c>
      <c r="H850" t="s">
        <v>352</v>
      </c>
      <c r="J850">
        <v>0</v>
      </c>
      <c r="L850">
        <v>1</v>
      </c>
      <c r="M850">
        <v>170</v>
      </c>
      <c r="N850">
        <v>46</v>
      </c>
      <c r="O850" t="s">
        <v>575</v>
      </c>
      <c r="Q850" t="s">
        <v>1066</v>
      </c>
      <c r="R850" t="s">
        <v>1028</v>
      </c>
      <c r="U850">
        <v>7</v>
      </c>
      <c r="V850">
        <v>7</v>
      </c>
      <c r="W850" t="s">
        <v>350</v>
      </c>
      <c r="X850" t="s">
        <v>349</v>
      </c>
      <c r="Y850" t="s">
        <v>580</v>
      </c>
      <c r="Z850">
        <v>2017</v>
      </c>
      <c r="AB850">
        <v>13</v>
      </c>
      <c r="AC850">
        <v>5.89</v>
      </c>
      <c r="AE850" t="s">
        <v>346</v>
      </c>
      <c r="AF850">
        <v>46.142674</v>
      </c>
      <c r="AG850">
        <v>-115.598088</v>
      </c>
      <c r="AH850">
        <v>15106589</v>
      </c>
      <c r="AI850">
        <f>17-68242</f>
        <v>-68225</v>
      </c>
    </row>
    <row r="851" spans="2:35">
      <c r="B851" t="s">
        <v>345</v>
      </c>
      <c r="C851" t="s">
        <v>1026</v>
      </c>
      <c r="D851" s="3">
        <v>42849.30972222222</v>
      </c>
      <c r="F851">
        <v>2017</v>
      </c>
      <c r="G851" t="s">
        <v>578</v>
      </c>
      <c r="H851" t="s">
        <v>352</v>
      </c>
      <c r="J851">
        <v>0</v>
      </c>
      <c r="L851">
        <v>1</v>
      </c>
      <c r="M851">
        <v>170</v>
      </c>
      <c r="N851">
        <v>45</v>
      </c>
      <c r="O851" t="s">
        <v>575</v>
      </c>
      <c r="Q851" t="s">
        <v>1067</v>
      </c>
      <c r="R851" t="s">
        <v>1028</v>
      </c>
      <c r="U851">
        <v>7</v>
      </c>
      <c r="V851">
        <v>7</v>
      </c>
      <c r="W851" t="s">
        <v>350</v>
      </c>
      <c r="X851" t="s">
        <v>349</v>
      </c>
      <c r="Y851" t="s">
        <v>580</v>
      </c>
      <c r="Z851">
        <v>2017</v>
      </c>
      <c r="AB851">
        <v>13</v>
      </c>
      <c r="AC851">
        <v>5.89</v>
      </c>
      <c r="AE851" t="s">
        <v>346</v>
      </c>
      <c r="AF851">
        <v>46.142674</v>
      </c>
      <c r="AG851">
        <v>-115.598088</v>
      </c>
      <c r="AH851">
        <v>15106590</v>
      </c>
      <c r="AI851">
        <f>17-68256</f>
        <v>-68239</v>
      </c>
    </row>
    <row r="852" spans="2:35">
      <c r="B852" t="s">
        <v>345</v>
      </c>
      <c r="C852" t="s">
        <v>1026</v>
      </c>
      <c r="D852" s="3">
        <v>42849.30972222222</v>
      </c>
      <c r="F852">
        <v>2017</v>
      </c>
      <c r="G852" t="s">
        <v>578</v>
      </c>
      <c r="H852" t="s">
        <v>352</v>
      </c>
      <c r="J852">
        <v>0</v>
      </c>
      <c r="L852">
        <v>1</v>
      </c>
      <c r="M852">
        <v>202</v>
      </c>
      <c r="N852">
        <v>78</v>
      </c>
      <c r="O852" t="s">
        <v>575</v>
      </c>
      <c r="Q852" t="s">
        <v>1068</v>
      </c>
      <c r="R852" t="s">
        <v>1028</v>
      </c>
      <c r="U852">
        <v>7</v>
      </c>
      <c r="V852">
        <v>7</v>
      </c>
      <c r="W852" t="s">
        <v>350</v>
      </c>
      <c r="X852" t="s">
        <v>349</v>
      </c>
      <c r="Y852" t="s">
        <v>580</v>
      </c>
      <c r="Z852">
        <v>2017</v>
      </c>
      <c r="AB852">
        <v>13</v>
      </c>
      <c r="AC852">
        <v>5.89</v>
      </c>
      <c r="AE852" t="s">
        <v>346</v>
      </c>
      <c r="AF852">
        <v>46.142674</v>
      </c>
      <c r="AG852">
        <v>-115.598088</v>
      </c>
      <c r="AH852">
        <v>15106591</v>
      </c>
      <c r="AI852">
        <f>17-68216</f>
        <v>-68199</v>
      </c>
    </row>
    <row r="853" spans="2:35">
      <c r="B853" t="s">
        <v>345</v>
      </c>
      <c r="C853" t="s">
        <v>1026</v>
      </c>
      <c r="D853" s="3">
        <v>42849.30972222222</v>
      </c>
      <c r="F853">
        <v>2017</v>
      </c>
      <c r="G853" t="s">
        <v>578</v>
      </c>
      <c r="H853" t="s">
        <v>352</v>
      </c>
      <c r="J853">
        <v>0</v>
      </c>
      <c r="L853">
        <v>1</v>
      </c>
      <c r="M853">
        <v>188</v>
      </c>
      <c r="N853">
        <v>56</v>
      </c>
      <c r="O853" t="s">
        <v>575</v>
      </c>
      <c r="Q853" t="s">
        <v>1069</v>
      </c>
      <c r="R853" t="s">
        <v>1028</v>
      </c>
      <c r="U853">
        <v>7</v>
      </c>
      <c r="V853">
        <v>7</v>
      </c>
      <c r="W853" t="s">
        <v>350</v>
      </c>
      <c r="X853" t="s">
        <v>349</v>
      </c>
      <c r="Y853" t="s">
        <v>580</v>
      </c>
      <c r="Z853">
        <v>2017</v>
      </c>
      <c r="AB853">
        <v>13</v>
      </c>
      <c r="AC853">
        <v>5.89</v>
      </c>
      <c r="AE853" t="s">
        <v>346</v>
      </c>
      <c r="AF853">
        <v>46.142674</v>
      </c>
      <c r="AG853">
        <v>-115.598088</v>
      </c>
      <c r="AH853">
        <v>15106592</v>
      </c>
      <c r="AI853">
        <f>17-68230</f>
        <v>-68213</v>
      </c>
    </row>
    <row r="854" spans="2:35">
      <c r="B854" t="s">
        <v>345</v>
      </c>
      <c r="C854" t="s">
        <v>1026</v>
      </c>
      <c r="D854" s="3">
        <v>42849.30972222222</v>
      </c>
      <c r="F854">
        <v>2017</v>
      </c>
      <c r="G854" t="s">
        <v>578</v>
      </c>
      <c r="H854" t="s">
        <v>352</v>
      </c>
      <c r="J854">
        <v>0</v>
      </c>
      <c r="L854">
        <v>1</v>
      </c>
      <c r="M854">
        <v>188</v>
      </c>
      <c r="N854">
        <v>58</v>
      </c>
      <c r="O854" t="s">
        <v>575</v>
      </c>
      <c r="Q854" t="s">
        <v>1070</v>
      </c>
      <c r="R854" t="s">
        <v>1028</v>
      </c>
      <c r="U854">
        <v>7</v>
      </c>
      <c r="V854">
        <v>7</v>
      </c>
      <c r="W854" t="s">
        <v>350</v>
      </c>
      <c r="X854" t="s">
        <v>349</v>
      </c>
      <c r="Y854" t="s">
        <v>580</v>
      </c>
      <c r="Z854">
        <v>2017</v>
      </c>
      <c r="AB854">
        <v>13</v>
      </c>
      <c r="AC854">
        <v>5.89</v>
      </c>
      <c r="AE854" t="s">
        <v>346</v>
      </c>
      <c r="AF854">
        <v>46.142674</v>
      </c>
      <c r="AG854">
        <v>-115.598088</v>
      </c>
      <c r="AH854">
        <v>15106593</v>
      </c>
      <c r="AI854">
        <f>17-68221</f>
        <v>-68204</v>
      </c>
    </row>
    <row r="855" spans="2:35">
      <c r="B855" t="s">
        <v>345</v>
      </c>
      <c r="C855" t="s">
        <v>1026</v>
      </c>
      <c r="D855" s="3">
        <v>42849.30972222222</v>
      </c>
      <c r="F855">
        <v>2017</v>
      </c>
      <c r="G855" t="s">
        <v>578</v>
      </c>
      <c r="H855" t="s">
        <v>352</v>
      </c>
      <c r="J855">
        <v>0</v>
      </c>
      <c r="L855">
        <v>1</v>
      </c>
      <c r="M855">
        <v>182</v>
      </c>
      <c r="N855">
        <v>55</v>
      </c>
      <c r="O855" t="s">
        <v>575</v>
      </c>
      <c r="Q855" t="s">
        <v>1071</v>
      </c>
      <c r="R855" t="s">
        <v>1028</v>
      </c>
      <c r="U855">
        <v>7</v>
      </c>
      <c r="V855">
        <v>7</v>
      </c>
      <c r="W855" t="s">
        <v>350</v>
      </c>
      <c r="X855" t="s">
        <v>349</v>
      </c>
      <c r="Y855" t="s">
        <v>580</v>
      </c>
      <c r="Z855">
        <v>2017</v>
      </c>
      <c r="AB855">
        <v>13</v>
      </c>
      <c r="AC855">
        <v>5.89</v>
      </c>
      <c r="AE855" t="s">
        <v>346</v>
      </c>
      <c r="AF855">
        <v>46.142674</v>
      </c>
      <c r="AG855">
        <v>-115.598088</v>
      </c>
      <c r="AH855">
        <v>15106594</v>
      </c>
      <c r="AI855">
        <f>17-68214</f>
        <v>-68197</v>
      </c>
    </row>
    <row r="856" spans="2:35">
      <c r="B856" t="s">
        <v>345</v>
      </c>
      <c r="C856" t="s">
        <v>1026</v>
      </c>
      <c r="D856" s="3">
        <v>42849.30972222222</v>
      </c>
      <c r="F856">
        <v>2017</v>
      </c>
      <c r="G856" t="s">
        <v>578</v>
      </c>
      <c r="H856" t="s">
        <v>352</v>
      </c>
      <c r="J856">
        <v>0</v>
      </c>
      <c r="L856">
        <v>1</v>
      </c>
      <c r="M856">
        <v>160</v>
      </c>
      <c r="N856">
        <v>37</v>
      </c>
      <c r="O856" t="s">
        <v>575</v>
      </c>
      <c r="Q856" t="s">
        <v>1072</v>
      </c>
      <c r="R856" t="s">
        <v>1028</v>
      </c>
      <c r="U856">
        <v>7</v>
      </c>
      <c r="V856">
        <v>7</v>
      </c>
      <c r="W856" t="s">
        <v>350</v>
      </c>
      <c r="X856" t="s">
        <v>349</v>
      </c>
      <c r="Y856" t="s">
        <v>580</v>
      </c>
      <c r="Z856">
        <v>2017</v>
      </c>
      <c r="AB856">
        <v>13</v>
      </c>
      <c r="AC856">
        <v>5.89</v>
      </c>
      <c r="AE856" t="s">
        <v>346</v>
      </c>
      <c r="AF856">
        <v>46.142674</v>
      </c>
      <c r="AG856">
        <v>-115.598088</v>
      </c>
      <c r="AH856">
        <v>15106595</v>
      </c>
      <c r="AI856">
        <f>17-68225</f>
        <v>-68208</v>
      </c>
    </row>
    <row r="857" spans="2:35">
      <c r="B857" t="s">
        <v>345</v>
      </c>
      <c r="C857" t="s">
        <v>1026</v>
      </c>
      <c r="D857" s="3">
        <v>42849.30972222222</v>
      </c>
      <c r="F857">
        <v>2017</v>
      </c>
      <c r="G857" t="s">
        <v>578</v>
      </c>
      <c r="H857" t="s">
        <v>352</v>
      </c>
      <c r="J857">
        <v>0</v>
      </c>
      <c r="L857">
        <v>1</v>
      </c>
      <c r="M857">
        <v>175</v>
      </c>
      <c r="N857">
        <v>48</v>
      </c>
      <c r="O857" t="s">
        <v>575</v>
      </c>
      <c r="Q857" t="s">
        <v>1073</v>
      </c>
      <c r="R857" t="s">
        <v>1028</v>
      </c>
      <c r="U857">
        <v>7</v>
      </c>
      <c r="V857">
        <v>7</v>
      </c>
      <c r="W857" t="s">
        <v>350</v>
      </c>
      <c r="X857" t="s">
        <v>349</v>
      </c>
      <c r="Y857" t="s">
        <v>580</v>
      </c>
      <c r="Z857">
        <v>2017</v>
      </c>
      <c r="AB857">
        <v>13</v>
      </c>
      <c r="AC857">
        <v>5.89</v>
      </c>
      <c r="AE857" t="s">
        <v>346</v>
      </c>
      <c r="AF857">
        <v>46.142674</v>
      </c>
      <c r="AG857">
        <v>-115.598088</v>
      </c>
      <c r="AH857">
        <v>15106596</v>
      </c>
      <c r="AI857">
        <f>17-68220</f>
        <v>-68203</v>
      </c>
    </row>
    <row r="858" spans="2:35">
      <c r="B858" t="s">
        <v>345</v>
      </c>
      <c r="C858" t="s">
        <v>1026</v>
      </c>
      <c r="D858" s="3">
        <v>42849.30972222222</v>
      </c>
      <c r="F858">
        <v>2017</v>
      </c>
      <c r="G858" t="s">
        <v>578</v>
      </c>
      <c r="H858" t="s">
        <v>352</v>
      </c>
      <c r="J858">
        <v>0</v>
      </c>
      <c r="L858">
        <v>1</v>
      </c>
      <c r="M858">
        <v>199</v>
      </c>
      <c r="N858">
        <v>77</v>
      </c>
      <c r="O858" t="s">
        <v>575</v>
      </c>
      <c r="Q858" t="s">
        <v>1074</v>
      </c>
      <c r="R858" t="s">
        <v>1028</v>
      </c>
      <c r="U858">
        <v>7</v>
      </c>
      <c r="V858">
        <v>7</v>
      </c>
      <c r="W858" t="s">
        <v>350</v>
      </c>
      <c r="X858" t="s">
        <v>349</v>
      </c>
      <c r="Y858" t="s">
        <v>580</v>
      </c>
      <c r="Z858">
        <v>2017</v>
      </c>
      <c r="AB858">
        <v>13</v>
      </c>
      <c r="AC858">
        <v>5.89</v>
      </c>
      <c r="AE858" t="s">
        <v>346</v>
      </c>
      <c r="AF858">
        <v>46.142674</v>
      </c>
      <c r="AG858">
        <v>-115.598088</v>
      </c>
      <c r="AH858">
        <v>15106597</v>
      </c>
      <c r="AI858">
        <f>17-68226</f>
        <v>-68209</v>
      </c>
    </row>
    <row r="859" spans="2:35">
      <c r="B859" t="s">
        <v>345</v>
      </c>
      <c r="C859" t="s">
        <v>1026</v>
      </c>
      <c r="D859" s="3">
        <v>42849.30972222222</v>
      </c>
      <c r="F859">
        <v>2017</v>
      </c>
      <c r="G859" t="s">
        <v>578</v>
      </c>
      <c r="H859" t="s">
        <v>352</v>
      </c>
      <c r="J859">
        <v>0</v>
      </c>
      <c r="L859">
        <v>1</v>
      </c>
      <c r="M859">
        <v>162</v>
      </c>
      <c r="N859">
        <v>36</v>
      </c>
      <c r="O859" t="s">
        <v>575</v>
      </c>
      <c r="Q859" t="s">
        <v>1075</v>
      </c>
      <c r="R859" t="s">
        <v>1028</v>
      </c>
      <c r="U859">
        <v>7</v>
      </c>
      <c r="V859">
        <v>7</v>
      </c>
      <c r="W859" t="s">
        <v>350</v>
      </c>
      <c r="X859" t="s">
        <v>349</v>
      </c>
      <c r="Y859" t="s">
        <v>580</v>
      </c>
      <c r="Z859">
        <v>2017</v>
      </c>
      <c r="AB859">
        <v>13</v>
      </c>
      <c r="AC859">
        <v>5.89</v>
      </c>
      <c r="AE859" t="s">
        <v>346</v>
      </c>
      <c r="AF859">
        <v>46.142674</v>
      </c>
      <c r="AG859">
        <v>-115.598088</v>
      </c>
      <c r="AH859">
        <v>15106598</v>
      </c>
      <c r="AI859">
        <f>17-68253</f>
        <v>-68236</v>
      </c>
    </row>
    <row r="860" spans="2:35">
      <c r="B860" t="s">
        <v>345</v>
      </c>
      <c r="C860" t="s">
        <v>1026</v>
      </c>
      <c r="D860" s="3">
        <v>42849.30972222222</v>
      </c>
      <c r="F860">
        <v>2017</v>
      </c>
      <c r="G860" t="s">
        <v>578</v>
      </c>
      <c r="H860" t="s">
        <v>352</v>
      </c>
      <c r="J860">
        <v>0</v>
      </c>
      <c r="L860">
        <v>1</v>
      </c>
      <c r="M860">
        <v>195</v>
      </c>
      <c r="N860">
        <v>63</v>
      </c>
      <c r="O860" t="s">
        <v>575</v>
      </c>
      <c r="Q860" t="s">
        <v>1076</v>
      </c>
      <c r="R860" t="s">
        <v>1028</v>
      </c>
      <c r="U860">
        <v>7</v>
      </c>
      <c r="V860">
        <v>7</v>
      </c>
      <c r="W860" t="s">
        <v>350</v>
      </c>
      <c r="X860" t="s">
        <v>349</v>
      </c>
      <c r="Y860" t="s">
        <v>580</v>
      </c>
      <c r="Z860">
        <v>2017</v>
      </c>
      <c r="AB860">
        <v>13</v>
      </c>
      <c r="AC860">
        <v>5.89</v>
      </c>
      <c r="AE860" t="s">
        <v>346</v>
      </c>
      <c r="AF860">
        <v>46.142674</v>
      </c>
      <c r="AG860">
        <v>-115.598088</v>
      </c>
      <c r="AH860">
        <v>15106599</v>
      </c>
      <c r="AI860">
        <f>17-68213</f>
        <v>-68196</v>
      </c>
    </row>
    <row r="861" spans="2:35">
      <c r="B861" t="s">
        <v>345</v>
      </c>
      <c r="C861" t="s">
        <v>1026</v>
      </c>
      <c r="D861" s="3">
        <v>42849.30972222222</v>
      </c>
      <c r="F861">
        <v>2017</v>
      </c>
      <c r="G861" t="s">
        <v>578</v>
      </c>
      <c r="H861" t="s">
        <v>352</v>
      </c>
      <c r="J861">
        <v>0</v>
      </c>
      <c r="L861">
        <v>1</v>
      </c>
      <c r="M861">
        <v>175</v>
      </c>
      <c r="N861">
        <v>46</v>
      </c>
      <c r="O861" t="s">
        <v>575</v>
      </c>
      <c r="Q861" t="s">
        <v>1077</v>
      </c>
      <c r="R861" t="s">
        <v>1028</v>
      </c>
      <c r="U861">
        <v>7</v>
      </c>
      <c r="V861">
        <v>7</v>
      </c>
      <c r="W861" t="s">
        <v>350</v>
      </c>
      <c r="X861" t="s">
        <v>349</v>
      </c>
      <c r="Y861" t="s">
        <v>580</v>
      </c>
      <c r="Z861">
        <v>2017</v>
      </c>
      <c r="AB861">
        <v>13</v>
      </c>
      <c r="AC861">
        <v>5.89</v>
      </c>
      <c r="AE861" t="s">
        <v>346</v>
      </c>
      <c r="AF861">
        <v>46.142674</v>
      </c>
      <c r="AG861">
        <v>-115.598088</v>
      </c>
      <c r="AH861">
        <v>15106600</v>
      </c>
      <c r="AI861">
        <f>17-68239</f>
        <v>-68222</v>
      </c>
    </row>
    <row r="862" spans="2:35">
      <c r="B862" t="s">
        <v>345</v>
      </c>
      <c r="C862" t="s">
        <v>1026</v>
      </c>
      <c r="D862" s="3">
        <v>42849.30972222222</v>
      </c>
      <c r="F862">
        <v>2017</v>
      </c>
      <c r="G862" t="s">
        <v>578</v>
      </c>
      <c r="H862" t="s">
        <v>352</v>
      </c>
      <c r="J862">
        <v>0</v>
      </c>
      <c r="L862">
        <v>1</v>
      </c>
      <c r="M862">
        <v>201</v>
      </c>
      <c r="N862">
        <v>72</v>
      </c>
      <c r="O862" t="s">
        <v>575</v>
      </c>
      <c r="Q862" t="s">
        <v>1078</v>
      </c>
      <c r="R862" t="s">
        <v>1028</v>
      </c>
      <c r="U862">
        <v>7</v>
      </c>
      <c r="V862">
        <v>7</v>
      </c>
      <c r="W862" t="s">
        <v>350</v>
      </c>
      <c r="X862" t="s">
        <v>349</v>
      </c>
      <c r="Y862" t="s">
        <v>580</v>
      </c>
      <c r="Z862">
        <v>2017</v>
      </c>
      <c r="AB862">
        <v>13</v>
      </c>
      <c r="AC862">
        <v>5.89</v>
      </c>
      <c r="AE862" t="s">
        <v>346</v>
      </c>
      <c r="AF862">
        <v>46.142674</v>
      </c>
      <c r="AG862">
        <v>-115.598088</v>
      </c>
      <c r="AH862">
        <v>15106601</v>
      </c>
      <c r="AI862">
        <f>17-68219</f>
        <v>-68202</v>
      </c>
    </row>
    <row r="863" spans="2:35">
      <c r="B863" t="s">
        <v>345</v>
      </c>
      <c r="C863" t="s">
        <v>1079</v>
      </c>
      <c r="D863" s="3">
        <v>42934.4375</v>
      </c>
      <c r="F863">
        <v>2017</v>
      </c>
      <c r="G863" t="s">
        <v>421</v>
      </c>
      <c r="H863" t="s">
        <v>352</v>
      </c>
      <c r="J863">
        <v>0</v>
      </c>
      <c r="L863">
        <v>1</v>
      </c>
      <c r="O863" t="s">
        <v>643</v>
      </c>
      <c r="R863" t="s">
        <v>1080</v>
      </c>
      <c r="U863">
        <v>25</v>
      </c>
      <c r="V863">
        <v>25</v>
      </c>
      <c r="W863" t="s">
        <v>350</v>
      </c>
      <c r="X863" t="s">
        <v>349</v>
      </c>
      <c r="Y863" t="s">
        <v>813</v>
      </c>
      <c r="Z863">
        <v>2017</v>
      </c>
      <c r="AB863">
        <v>10</v>
      </c>
      <c r="AC863">
        <v>2.65</v>
      </c>
      <c r="AE863" t="s">
        <v>346</v>
      </c>
      <c r="AF863">
        <v>46.142674</v>
      </c>
      <c r="AG863">
        <v>-115.598088</v>
      </c>
      <c r="AH863">
        <v>15147260</v>
      </c>
    </row>
    <row r="864" spans="2:35">
      <c r="B864" t="s">
        <v>345</v>
      </c>
      <c r="C864" t="s">
        <v>1079</v>
      </c>
      <c r="D864" s="3">
        <v>42934.4375</v>
      </c>
      <c r="F864">
        <v>2017</v>
      </c>
      <c r="G864" t="s">
        <v>611</v>
      </c>
      <c r="H864" t="s">
        <v>352</v>
      </c>
      <c r="J864">
        <v>0</v>
      </c>
      <c r="L864">
        <v>6</v>
      </c>
      <c r="O864" t="s">
        <v>643</v>
      </c>
      <c r="R864" t="s">
        <v>1080</v>
      </c>
      <c r="U864">
        <v>25</v>
      </c>
      <c r="V864">
        <v>25</v>
      </c>
      <c r="W864" t="s">
        <v>350</v>
      </c>
      <c r="X864" t="s">
        <v>349</v>
      </c>
      <c r="Y864" t="s">
        <v>813</v>
      </c>
      <c r="Z864">
        <v>2017</v>
      </c>
      <c r="AB864">
        <v>10</v>
      </c>
      <c r="AC864">
        <v>2.65</v>
      </c>
      <c r="AE864" t="s">
        <v>346</v>
      </c>
      <c r="AF864">
        <v>46.142674</v>
      </c>
      <c r="AG864">
        <v>-115.598088</v>
      </c>
      <c r="AH864">
        <v>15147261</v>
      </c>
    </row>
    <row r="865" spans="2:34">
      <c r="B865" t="s">
        <v>345</v>
      </c>
      <c r="C865" t="s">
        <v>1079</v>
      </c>
      <c r="D865" s="3">
        <v>42934.4375</v>
      </c>
      <c r="F865">
        <v>2017</v>
      </c>
      <c r="G865" t="s">
        <v>602</v>
      </c>
      <c r="H865" t="s">
        <v>352</v>
      </c>
      <c r="J865">
        <v>0</v>
      </c>
      <c r="L865">
        <v>4</v>
      </c>
      <c r="O865" t="s">
        <v>643</v>
      </c>
      <c r="R865" t="s">
        <v>1080</v>
      </c>
      <c r="U865">
        <v>25</v>
      </c>
      <c r="V865">
        <v>25</v>
      </c>
      <c r="W865" t="s">
        <v>350</v>
      </c>
      <c r="X865" t="s">
        <v>349</v>
      </c>
      <c r="Y865" t="s">
        <v>813</v>
      </c>
      <c r="Z865">
        <v>2017</v>
      </c>
      <c r="AB865">
        <v>10</v>
      </c>
      <c r="AC865">
        <v>2.65</v>
      </c>
      <c r="AE865" t="s">
        <v>346</v>
      </c>
      <c r="AF865">
        <v>46.142674</v>
      </c>
      <c r="AG865">
        <v>-115.598088</v>
      </c>
      <c r="AH865">
        <v>15147262</v>
      </c>
    </row>
    <row r="866" spans="2:34">
      <c r="B866" t="s">
        <v>345</v>
      </c>
      <c r="C866" t="s">
        <v>1079</v>
      </c>
      <c r="D866" s="3">
        <v>42934.4375</v>
      </c>
      <c r="F866">
        <v>2017</v>
      </c>
      <c r="G866" t="s">
        <v>605</v>
      </c>
      <c r="H866" t="s">
        <v>352</v>
      </c>
      <c r="J866">
        <v>0</v>
      </c>
      <c r="L866">
        <v>3</v>
      </c>
      <c r="O866" t="s">
        <v>643</v>
      </c>
      <c r="R866" t="s">
        <v>1080</v>
      </c>
      <c r="U866">
        <v>25</v>
      </c>
      <c r="V866">
        <v>25</v>
      </c>
      <c r="W866" t="s">
        <v>350</v>
      </c>
      <c r="X866" t="s">
        <v>349</v>
      </c>
      <c r="Y866" t="s">
        <v>813</v>
      </c>
      <c r="Z866">
        <v>2017</v>
      </c>
      <c r="AB866">
        <v>10</v>
      </c>
      <c r="AC866">
        <v>2.65</v>
      </c>
      <c r="AE866" t="s">
        <v>346</v>
      </c>
      <c r="AF866">
        <v>46.142674</v>
      </c>
      <c r="AG866">
        <v>-115.598088</v>
      </c>
      <c r="AH866">
        <v>15147263</v>
      </c>
    </row>
    <row r="867" spans="2:34">
      <c r="B867" t="s">
        <v>345</v>
      </c>
      <c r="C867" t="s">
        <v>1079</v>
      </c>
      <c r="D867" s="3">
        <v>42934.4375</v>
      </c>
      <c r="F867">
        <v>2017</v>
      </c>
      <c r="G867" t="s">
        <v>636</v>
      </c>
      <c r="H867" t="s">
        <v>352</v>
      </c>
      <c r="J867">
        <v>0</v>
      </c>
      <c r="L867">
        <v>1</v>
      </c>
      <c r="O867" t="s">
        <v>643</v>
      </c>
      <c r="R867" t="s">
        <v>1080</v>
      </c>
      <c r="U867">
        <v>25</v>
      </c>
      <c r="V867">
        <v>25</v>
      </c>
      <c r="W867" t="s">
        <v>350</v>
      </c>
      <c r="X867" t="s">
        <v>349</v>
      </c>
      <c r="Y867" t="s">
        <v>813</v>
      </c>
      <c r="Z867">
        <v>2017</v>
      </c>
      <c r="AB867">
        <v>10</v>
      </c>
      <c r="AC867">
        <v>2.65</v>
      </c>
      <c r="AE867" t="s">
        <v>346</v>
      </c>
      <c r="AF867">
        <v>46.142674</v>
      </c>
      <c r="AG867">
        <v>-115.598088</v>
      </c>
      <c r="AH867">
        <v>15147264</v>
      </c>
    </row>
    <row r="868" spans="2:34">
      <c r="B868" t="s">
        <v>345</v>
      </c>
      <c r="C868" t="s">
        <v>1081</v>
      </c>
      <c r="D868" s="3">
        <v>42873.398611111108</v>
      </c>
      <c r="F868">
        <v>2017</v>
      </c>
      <c r="G868" t="s">
        <v>578</v>
      </c>
      <c r="H868" t="s">
        <v>352</v>
      </c>
      <c r="J868">
        <v>0</v>
      </c>
      <c r="L868">
        <v>1</v>
      </c>
      <c r="M868">
        <v>161</v>
      </c>
      <c r="N868">
        <v>41</v>
      </c>
      <c r="O868" t="s">
        <v>575</v>
      </c>
      <c r="Q868" t="s">
        <v>1082</v>
      </c>
      <c r="R868" t="s">
        <v>1083</v>
      </c>
      <c r="U868">
        <v>5.5</v>
      </c>
      <c r="V868">
        <v>5</v>
      </c>
      <c r="W868" t="s">
        <v>350</v>
      </c>
      <c r="X868" t="s">
        <v>349</v>
      </c>
      <c r="Y868" t="s">
        <v>580</v>
      </c>
      <c r="Z868">
        <v>2017</v>
      </c>
      <c r="AB868">
        <v>14</v>
      </c>
      <c r="AC868">
        <v>6.12</v>
      </c>
      <c r="AE868" t="s">
        <v>346</v>
      </c>
      <c r="AF868">
        <v>46.142674</v>
      </c>
      <c r="AG868">
        <v>-115.598088</v>
      </c>
      <c r="AH868">
        <v>15154857</v>
      </c>
    </row>
    <row r="869" spans="2:34">
      <c r="B869" t="s">
        <v>345</v>
      </c>
      <c r="C869" t="s">
        <v>1084</v>
      </c>
      <c r="D869" s="3">
        <v>42988.668749999997</v>
      </c>
      <c r="F869">
        <v>2017</v>
      </c>
      <c r="G869" t="s">
        <v>605</v>
      </c>
      <c r="H869" t="s">
        <v>352</v>
      </c>
      <c r="J869">
        <v>0</v>
      </c>
      <c r="L869">
        <v>25</v>
      </c>
      <c r="M869">
        <v>0</v>
      </c>
      <c r="N869">
        <v>0</v>
      </c>
      <c r="O869" t="s">
        <v>606</v>
      </c>
      <c r="R869" t="s">
        <v>603</v>
      </c>
      <c r="U869">
        <v>25</v>
      </c>
      <c r="V869">
        <v>25</v>
      </c>
      <c r="W869" t="s">
        <v>350</v>
      </c>
      <c r="X869" t="s">
        <v>349</v>
      </c>
      <c r="Y869" t="s">
        <v>348</v>
      </c>
      <c r="Z869">
        <v>2017</v>
      </c>
      <c r="AB869">
        <v>4</v>
      </c>
      <c r="AC869">
        <v>1.74</v>
      </c>
      <c r="AE869" t="s">
        <v>346</v>
      </c>
      <c r="AF869">
        <v>46.142674</v>
      </c>
      <c r="AG869">
        <v>-115.598088</v>
      </c>
      <c r="AH869">
        <v>15155090</v>
      </c>
    </row>
    <row r="870" spans="2:34">
      <c r="B870" t="s">
        <v>345</v>
      </c>
      <c r="C870" t="s">
        <v>1085</v>
      </c>
      <c r="D870" s="3">
        <v>42928.527083333334</v>
      </c>
      <c r="F870">
        <v>2017</v>
      </c>
      <c r="G870" t="s">
        <v>605</v>
      </c>
      <c r="H870" t="s">
        <v>352</v>
      </c>
      <c r="J870">
        <v>0</v>
      </c>
      <c r="L870">
        <v>2</v>
      </c>
      <c r="M870">
        <v>0</v>
      </c>
      <c r="N870">
        <v>0</v>
      </c>
      <c r="O870" t="s">
        <v>353</v>
      </c>
      <c r="U870">
        <v>25</v>
      </c>
      <c r="V870">
        <v>25</v>
      </c>
      <c r="W870" t="s">
        <v>350</v>
      </c>
      <c r="X870" t="s">
        <v>349</v>
      </c>
      <c r="Y870" t="s">
        <v>642</v>
      </c>
      <c r="Z870">
        <v>2017</v>
      </c>
      <c r="AB870">
        <v>12</v>
      </c>
      <c r="AC870">
        <v>2.95</v>
      </c>
      <c r="AE870" t="s">
        <v>346</v>
      </c>
      <c r="AF870">
        <v>46.142674</v>
      </c>
      <c r="AG870">
        <v>-115.598088</v>
      </c>
      <c r="AH870">
        <v>15155999</v>
      </c>
    </row>
    <row r="871" spans="2:34">
      <c r="B871" t="s">
        <v>345</v>
      </c>
      <c r="C871" t="s">
        <v>1085</v>
      </c>
      <c r="D871" s="3">
        <v>42928.527083333334</v>
      </c>
      <c r="F871">
        <v>2017</v>
      </c>
      <c r="G871" t="s">
        <v>611</v>
      </c>
      <c r="H871" t="s">
        <v>352</v>
      </c>
      <c r="J871">
        <v>0</v>
      </c>
      <c r="L871">
        <v>12</v>
      </c>
      <c r="M871">
        <v>0</v>
      </c>
      <c r="N871">
        <v>0</v>
      </c>
      <c r="O871" t="s">
        <v>643</v>
      </c>
      <c r="U871">
        <v>25</v>
      </c>
      <c r="V871">
        <v>25</v>
      </c>
      <c r="W871" t="s">
        <v>350</v>
      </c>
      <c r="X871" t="s">
        <v>349</v>
      </c>
      <c r="Y871" t="s">
        <v>642</v>
      </c>
      <c r="Z871">
        <v>2017</v>
      </c>
      <c r="AB871">
        <v>12</v>
      </c>
      <c r="AC871">
        <v>2.95</v>
      </c>
      <c r="AE871" t="s">
        <v>346</v>
      </c>
      <c r="AF871">
        <v>46.142674</v>
      </c>
      <c r="AG871">
        <v>-115.598088</v>
      </c>
      <c r="AH871">
        <v>15156000</v>
      </c>
    </row>
    <row r="872" spans="2:34">
      <c r="B872" t="s">
        <v>345</v>
      </c>
      <c r="C872" t="s">
        <v>1085</v>
      </c>
      <c r="D872" s="3">
        <v>42928.527083333334</v>
      </c>
      <c r="F872">
        <v>2017</v>
      </c>
      <c r="G872" t="s">
        <v>611</v>
      </c>
      <c r="H872" t="s">
        <v>352</v>
      </c>
      <c r="J872">
        <v>0</v>
      </c>
      <c r="L872">
        <v>1</v>
      </c>
      <c r="M872">
        <v>0</v>
      </c>
      <c r="N872">
        <v>0</v>
      </c>
      <c r="O872" t="s">
        <v>643</v>
      </c>
      <c r="U872">
        <v>25</v>
      </c>
      <c r="V872">
        <v>25</v>
      </c>
      <c r="W872" t="s">
        <v>350</v>
      </c>
      <c r="X872" t="s">
        <v>349</v>
      </c>
      <c r="Y872" t="s">
        <v>642</v>
      </c>
      <c r="Z872">
        <v>2017</v>
      </c>
      <c r="AB872">
        <v>12</v>
      </c>
      <c r="AC872">
        <v>2.95</v>
      </c>
      <c r="AE872" t="s">
        <v>346</v>
      </c>
      <c r="AF872">
        <v>46.142674</v>
      </c>
      <c r="AG872">
        <v>-115.598088</v>
      </c>
      <c r="AH872">
        <v>15156001</v>
      </c>
    </row>
    <row r="873" spans="2:34">
      <c r="B873" t="s">
        <v>345</v>
      </c>
      <c r="C873" t="s">
        <v>1085</v>
      </c>
      <c r="D873" s="3">
        <v>42928.527083333334</v>
      </c>
      <c r="F873">
        <v>2017</v>
      </c>
      <c r="G873" t="s">
        <v>743</v>
      </c>
      <c r="H873" t="s">
        <v>352</v>
      </c>
      <c r="J873">
        <v>0</v>
      </c>
      <c r="L873">
        <v>1</v>
      </c>
      <c r="M873">
        <v>0</v>
      </c>
      <c r="N873">
        <v>0</v>
      </c>
      <c r="O873" t="s">
        <v>643</v>
      </c>
      <c r="U873">
        <v>25</v>
      </c>
      <c r="V873">
        <v>25</v>
      </c>
      <c r="W873" t="s">
        <v>350</v>
      </c>
      <c r="X873" t="s">
        <v>349</v>
      </c>
      <c r="Y873" t="s">
        <v>642</v>
      </c>
      <c r="Z873">
        <v>2017</v>
      </c>
      <c r="AB873">
        <v>12</v>
      </c>
      <c r="AC873">
        <v>2.95</v>
      </c>
      <c r="AE873" t="s">
        <v>346</v>
      </c>
      <c r="AF873">
        <v>46.142674</v>
      </c>
      <c r="AG873">
        <v>-115.598088</v>
      </c>
      <c r="AH873">
        <v>15156002</v>
      </c>
    </row>
    <row r="874" spans="2:34">
      <c r="B874" t="s">
        <v>345</v>
      </c>
      <c r="C874" t="s">
        <v>1086</v>
      </c>
      <c r="D874" s="3">
        <v>42858.354861111111</v>
      </c>
      <c r="F874">
        <v>2017</v>
      </c>
      <c r="G874" t="s">
        <v>578</v>
      </c>
      <c r="H874" t="s">
        <v>352</v>
      </c>
      <c r="J874">
        <v>0</v>
      </c>
      <c r="L874">
        <v>1</v>
      </c>
      <c r="M874">
        <v>178</v>
      </c>
      <c r="N874">
        <v>50</v>
      </c>
      <c r="O874" t="s">
        <v>575</v>
      </c>
      <c r="Q874" t="s">
        <v>576</v>
      </c>
      <c r="R874" t="s">
        <v>1087</v>
      </c>
      <c r="U874">
        <v>7</v>
      </c>
      <c r="V874">
        <v>6</v>
      </c>
      <c r="W874" t="s">
        <v>350</v>
      </c>
      <c r="X874" t="s">
        <v>349</v>
      </c>
      <c r="Y874" t="s">
        <v>580</v>
      </c>
      <c r="Z874">
        <v>2017</v>
      </c>
      <c r="AB874">
        <v>13</v>
      </c>
      <c r="AC874">
        <v>5.55</v>
      </c>
      <c r="AE874" t="s">
        <v>346</v>
      </c>
      <c r="AF874">
        <v>46.142674</v>
      </c>
      <c r="AG874">
        <v>-115.598088</v>
      </c>
      <c r="AH874">
        <v>15156594</v>
      </c>
    </row>
    <row r="875" spans="2:34">
      <c r="B875" t="s">
        <v>345</v>
      </c>
      <c r="C875" t="s">
        <v>1086</v>
      </c>
      <c r="D875" s="3">
        <v>42858.354861111111</v>
      </c>
      <c r="F875">
        <v>2017</v>
      </c>
      <c r="G875" t="s">
        <v>578</v>
      </c>
      <c r="H875" t="s">
        <v>352</v>
      </c>
      <c r="J875">
        <v>0</v>
      </c>
      <c r="L875">
        <v>1</v>
      </c>
      <c r="M875">
        <v>151</v>
      </c>
      <c r="N875">
        <v>34</v>
      </c>
      <c r="O875" t="s">
        <v>575</v>
      </c>
      <c r="Q875" t="s">
        <v>576</v>
      </c>
      <c r="R875" t="s">
        <v>1087</v>
      </c>
      <c r="U875">
        <v>7</v>
      </c>
      <c r="V875">
        <v>6</v>
      </c>
      <c r="W875" t="s">
        <v>350</v>
      </c>
      <c r="X875" t="s">
        <v>349</v>
      </c>
      <c r="Y875" t="s">
        <v>580</v>
      </c>
      <c r="Z875">
        <v>2017</v>
      </c>
      <c r="AB875">
        <v>13</v>
      </c>
      <c r="AC875">
        <v>5.55</v>
      </c>
      <c r="AE875" t="s">
        <v>346</v>
      </c>
      <c r="AF875">
        <v>46.142674</v>
      </c>
      <c r="AG875">
        <v>-115.598088</v>
      </c>
      <c r="AH875">
        <v>15156595</v>
      </c>
    </row>
    <row r="876" spans="2:34">
      <c r="B876" t="s">
        <v>345</v>
      </c>
      <c r="C876" t="s">
        <v>1086</v>
      </c>
      <c r="D876" s="3">
        <v>42858.354861111111</v>
      </c>
      <c r="F876">
        <v>2017</v>
      </c>
      <c r="G876" t="s">
        <v>578</v>
      </c>
      <c r="H876" t="s">
        <v>352</v>
      </c>
      <c r="J876">
        <v>0</v>
      </c>
      <c r="L876">
        <v>1</v>
      </c>
      <c r="M876">
        <v>187</v>
      </c>
      <c r="N876">
        <v>58</v>
      </c>
      <c r="O876" t="s">
        <v>575</v>
      </c>
      <c r="Q876" t="s">
        <v>576</v>
      </c>
      <c r="R876" t="s">
        <v>1087</v>
      </c>
      <c r="U876">
        <v>7</v>
      </c>
      <c r="V876">
        <v>6</v>
      </c>
      <c r="W876" t="s">
        <v>350</v>
      </c>
      <c r="X876" t="s">
        <v>349</v>
      </c>
      <c r="Y876" t="s">
        <v>580</v>
      </c>
      <c r="Z876">
        <v>2017</v>
      </c>
      <c r="AB876">
        <v>13</v>
      </c>
      <c r="AC876">
        <v>5.55</v>
      </c>
      <c r="AE876" t="s">
        <v>346</v>
      </c>
      <c r="AF876">
        <v>46.142674</v>
      </c>
      <c r="AG876">
        <v>-115.598088</v>
      </c>
      <c r="AH876">
        <v>15156596</v>
      </c>
    </row>
    <row r="877" spans="2:34">
      <c r="B877" t="s">
        <v>345</v>
      </c>
      <c r="C877" t="s">
        <v>1086</v>
      </c>
      <c r="D877" s="3">
        <v>42858.354861111111</v>
      </c>
      <c r="F877">
        <v>2017</v>
      </c>
      <c r="G877" t="s">
        <v>574</v>
      </c>
      <c r="H877" t="s">
        <v>352</v>
      </c>
      <c r="J877">
        <v>0</v>
      </c>
      <c r="L877">
        <v>1</v>
      </c>
      <c r="M877">
        <v>96</v>
      </c>
      <c r="N877">
        <v>9</v>
      </c>
      <c r="O877" t="s">
        <v>575</v>
      </c>
      <c r="Q877" t="s">
        <v>576</v>
      </c>
      <c r="R877" t="s">
        <v>1087</v>
      </c>
      <c r="U877">
        <v>7</v>
      </c>
      <c r="V877">
        <v>6</v>
      </c>
      <c r="W877" t="s">
        <v>350</v>
      </c>
      <c r="X877" t="s">
        <v>349</v>
      </c>
      <c r="Y877" t="s">
        <v>580</v>
      </c>
      <c r="Z877">
        <v>2017</v>
      </c>
      <c r="AB877">
        <v>13</v>
      </c>
      <c r="AC877">
        <v>5.55</v>
      </c>
      <c r="AE877" t="s">
        <v>346</v>
      </c>
      <c r="AF877">
        <v>46.142674</v>
      </c>
      <c r="AG877">
        <v>-115.598088</v>
      </c>
      <c r="AH877">
        <v>15156597</v>
      </c>
    </row>
    <row r="878" spans="2:34">
      <c r="B878" t="s">
        <v>345</v>
      </c>
      <c r="C878" t="s">
        <v>1086</v>
      </c>
      <c r="D878" s="3">
        <v>42858.354861111111</v>
      </c>
      <c r="F878">
        <v>2017</v>
      </c>
      <c r="G878" t="s">
        <v>578</v>
      </c>
      <c r="H878" t="s">
        <v>352</v>
      </c>
      <c r="J878">
        <v>0</v>
      </c>
      <c r="L878">
        <v>1</v>
      </c>
      <c r="M878">
        <v>152</v>
      </c>
      <c r="N878">
        <v>32</v>
      </c>
      <c r="O878" t="s">
        <v>575</v>
      </c>
      <c r="Q878" t="s">
        <v>576</v>
      </c>
      <c r="R878" t="s">
        <v>1087</v>
      </c>
      <c r="U878">
        <v>7</v>
      </c>
      <c r="V878">
        <v>6</v>
      </c>
      <c r="W878" t="s">
        <v>350</v>
      </c>
      <c r="X878" t="s">
        <v>349</v>
      </c>
      <c r="Y878" t="s">
        <v>580</v>
      </c>
      <c r="Z878">
        <v>2017</v>
      </c>
      <c r="AB878">
        <v>13</v>
      </c>
      <c r="AC878">
        <v>5.55</v>
      </c>
      <c r="AE878" t="s">
        <v>346</v>
      </c>
      <c r="AF878">
        <v>46.142674</v>
      </c>
      <c r="AG878">
        <v>-115.598088</v>
      </c>
      <c r="AH878">
        <v>15156598</v>
      </c>
    </row>
    <row r="879" spans="2:34">
      <c r="B879" t="s">
        <v>345</v>
      </c>
      <c r="C879" t="s">
        <v>1086</v>
      </c>
      <c r="D879" s="3">
        <v>42858.354861111111</v>
      </c>
      <c r="F879">
        <v>2017</v>
      </c>
      <c r="G879" t="s">
        <v>578</v>
      </c>
      <c r="H879" t="s">
        <v>352</v>
      </c>
      <c r="J879">
        <v>0</v>
      </c>
      <c r="L879">
        <v>1</v>
      </c>
      <c r="M879">
        <v>181</v>
      </c>
      <c r="N879">
        <v>58</v>
      </c>
      <c r="O879" t="s">
        <v>575</v>
      </c>
      <c r="Q879" t="s">
        <v>576</v>
      </c>
      <c r="R879" t="s">
        <v>1087</v>
      </c>
      <c r="U879">
        <v>7</v>
      </c>
      <c r="V879">
        <v>6</v>
      </c>
      <c r="W879" t="s">
        <v>350</v>
      </c>
      <c r="X879" t="s">
        <v>349</v>
      </c>
      <c r="Y879" t="s">
        <v>580</v>
      </c>
      <c r="Z879">
        <v>2017</v>
      </c>
      <c r="AB879">
        <v>13</v>
      </c>
      <c r="AC879">
        <v>5.55</v>
      </c>
      <c r="AE879" t="s">
        <v>346</v>
      </c>
      <c r="AF879">
        <v>46.142674</v>
      </c>
      <c r="AG879">
        <v>-115.598088</v>
      </c>
      <c r="AH879">
        <v>15156599</v>
      </c>
    </row>
    <row r="880" spans="2:34">
      <c r="B880" t="s">
        <v>345</v>
      </c>
      <c r="C880" t="s">
        <v>1086</v>
      </c>
      <c r="D880" s="3">
        <v>42858.354861111111</v>
      </c>
      <c r="F880">
        <v>2017</v>
      </c>
      <c r="G880" t="s">
        <v>578</v>
      </c>
      <c r="H880" t="s">
        <v>352</v>
      </c>
      <c r="J880">
        <v>0</v>
      </c>
      <c r="L880">
        <v>1</v>
      </c>
      <c r="M880">
        <v>160</v>
      </c>
      <c r="N880">
        <v>36</v>
      </c>
      <c r="O880" t="s">
        <v>575</v>
      </c>
      <c r="Q880" t="s">
        <v>576</v>
      </c>
      <c r="R880" t="s">
        <v>1087</v>
      </c>
      <c r="U880">
        <v>7</v>
      </c>
      <c r="V880">
        <v>6</v>
      </c>
      <c r="W880" t="s">
        <v>350</v>
      </c>
      <c r="X880" t="s">
        <v>349</v>
      </c>
      <c r="Y880" t="s">
        <v>580</v>
      </c>
      <c r="Z880">
        <v>2017</v>
      </c>
      <c r="AB880">
        <v>13</v>
      </c>
      <c r="AC880">
        <v>5.55</v>
      </c>
      <c r="AE880" t="s">
        <v>346</v>
      </c>
      <c r="AF880">
        <v>46.142674</v>
      </c>
      <c r="AG880">
        <v>-115.598088</v>
      </c>
      <c r="AH880">
        <v>15156600</v>
      </c>
    </row>
    <row r="881" spans="2:34">
      <c r="B881" t="s">
        <v>345</v>
      </c>
      <c r="C881" t="s">
        <v>1086</v>
      </c>
      <c r="D881" s="3">
        <v>42858.354861111111</v>
      </c>
      <c r="F881">
        <v>2017</v>
      </c>
      <c r="G881" t="s">
        <v>578</v>
      </c>
      <c r="H881" t="s">
        <v>352</v>
      </c>
      <c r="J881">
        <v>0</v>
      </c>
      <c r="L881">
        <v>1</v>
      </c>
      <c r="M881">
        <v>210</v>
      </c>
      <c r="N881">
        <v>84</v>
      </c>
      <c r="O881" t="s">
        <v>575</v>
      </c>
      <c r="P881" t="s">
        <v>373</v>
      </c>
      <c r="Q881" t="s">
        <v>576</v>
      </c>
      <c r="R881" t="s">
        <v>1087</v>
      </c>
      <c r="U881">
        <v>7</v>
      </c>
      <c r="V881">
        <v>6</v>
      </c>
      <c r="W881" t="s">
        <v>350</v>
      </c>
      <c r="X881" t="s">
        <v>349</v>
      </c>
      <c r="Y881" t="s">
        <v>580</v>
      </c>
      <c r="Z881">
        <v>2017</v>
      </c>
      <c r="AB881">
        <v>13</v>
      </c>
      <c r="AC881">
        <v>5.55</v>
      </c>
      <c r="AE881" t="s">
        <v>346</v>
      </c>
      <c r="AF881">
        <v>46.142674</v>
      </c>
      <c r="AG881">
        <v>-115.598088</v>
      </c>
      <c r="AH881">
        <v>15156601</v>
      </c>
    </row>
    <row r="882" spans="2:34">
      <c r="B882" t="s">
        <v>345</v>
      </c>
      <c r="C882" t="s">
        <v>1086</v>
      </c>
      <c r="D882" s="3">
        <v>42858.354861111111</v>
      </c>
      <c r="F882">
        <v>2017</v>
      </c>
      <c r="G882" t="s">
        <v>578</v>
      </c>
      <c r="H882" t="s">
        <v>352</v>
      </c>
      <c r="J882">
        <v>0</v>
      </c>
      <c r="L882">
        <v>1</v>
      </c>
      <c r="M882">
        <v>165</v>
      </c>
      <c r="N882">
        <v>41</v>
      </c>
      <c r="O882" t="s">
        <v>575</v>
      </c>
      <c r="Q882" t="s">
        <v>576</v>
      </c>
      <c r="R882" t="s">
        <v>1087</v>
      </c>
      <c r="U882">
        <v>7</v>
      </c>
      <c r="V882">
        <v>6</v>
      </c>
      <c r="W882" t="s">
        <v>350</v>
      </c>
      <c r="X882" t="s">
        <v>349</v>
      </c>
      <c r="Y882" t="s">
        <v>580</v>
      </c>
      <c r="Z882">
        <v>2017</v>
      </c>
      <c r="AB882">
        <v>13</v>
      </c>
      <c r="AC882">
        <v>5.55</v>
      </c>
      <c r="AE882" t="s">
        <v>346</v>
      </c>
      <c r="AF882">
        <v>46.142674</v>
      </c>
      <c r="AG882">
        <v>-115.598088</v>
      </c>
      <c r="AH882">
        <v>15156602</v>
      </c>
    </row>
    <row r="883" spans="2:34">
      <c r="B883" t="s">
        <v>345</v>
      </c>
      <c r="C883" t="s">
        <v>1086</v>
      </c>
      <c r="D883" s="3">
        <v>42858.354861111111</v>
      </c>
      <c r="F883">
        <v>2017</v>
      </c>
      <c r="G883" t="s">
        <v>578</v>
      </c>
      <c r="H883" t="s">
        <v>352</v>
      </c>
      <c r="J883">
        <v>0</v>
      </c>
      <c r="L883">
        <v>1</v>
      </c>
      <c r="M883">
        <v>145</v>
      </c>
      <c r="N883">
        <v>28</v>
      </c>
      <c r="O883" t="s">
        <v>575</v>
      </c>
      <c r="Q883" t="s">
        <v>576</v>
      </c>
      <c r="R883" t="s">
        <v>1087</v>
      </c>
      <c r="U883">
        <v>7</v>
      </c>
      <c r="V883">
        <v>6</v>
      </c>
      <c r="W883" t="s">
        <v>350</v>
      </c>
      <c r="X883" t="s">
        <v>349</v>
      </c>
      <c r="Y883" t="s">
        <v>580</v>
      </c>
      <c r="Z883">
        <v>2017</v>
      </c>
      <c r="AB883">
        <v>13</v>
      </c>
      <c r="AC883">
        <v>5.55</v>
      </c>
      <c r="AE883" t="s">
        <v>346</v>
      </c>
      <c r="AF883">
        <v>46.142674</v>
      </c>
      <c r="AG883">
        <v>-115.598088</v>
      </c>
      <c r="AH883">
        <v>15156603</v>
      </c>
    </row>
    <row r="884" spans="2:34">
      <c r="B884" t="s">
        <v>345</v>
      </c>
      <c r="C884" t="s">
        <v>1086</v>
      </c>
      <c r="D884" s="3">
        <v>42858.354861111111</v>
      </c>
      <c r="F884">
        <v>2017</v>
      </c>
      <c r="G884" t="s">
        <v>578</v>
      </c>
      <c r="H884" t="s">
        <v>352</v>
      </c>
      <c r="J884">
        <v>0</v>
      </c>
      <c r="L884">
        <v>1</v>
      </c>
      <c r="M884">
        <v>189</v>
      </c>
      <c r="N884">
        <v>74</v>
      </c>
      <c r="O884" t="s">
        <v>575</v>
      </c>
      <c r="Q884" t="s">
        <v>576</v>
      </c>
      <c r="R884" t="s">
        <v>1087</v>
      </c>
      <c r="U884">
        <v>7</v>
      </c>
      <c r="V884">
        <v>6</v>
      </c>
      <c r="W884" t="s">
        <v>350</v>
      </c>
      <c r="X884" t="s">
        <v>349</v>
      </c>
      <c r="Y884" t="s">
        <v>580</v>
      </c>
      <c r="Z884">
        <v>2017</v>
      </c>
      <c r="AB884">
        <v>13</v>
      </c>
      <c r="AC884">
        <v>5.55</v>
      </c>
      <c r="AE884" t="s">
        <v>346</v>
      </c>
      <c r="AF884">
        <v>46.142674</v>
      </c>
      <c r="AG884">
        <v>-115.598088</v>
      </c>
      <c r="AH884">
        <v>15156604</v>
      </c>
    </row>
    <row r="885" spans="2:34">
      <c r="B885" t="s">
        <v>345</v>
      </c>
      <c r="C885" t="s">
        <v>1086</v>
      </c>
      <c r="D885" s="3">
        <v>42858.354861111111</v>
      </c>
      <c r="F885">
        <v>2017</v>
      </c>
      <c r="G885" t="s">
        <v>578</v>
      </c>
      <c r="H885" t="s">
        <v>352</v>
      </c>
      <c r="J885">
        <v>0</v>
      </c>
      <c r="L885">
        <v>1</v>
      </c>
      <c r="M885">
        <v>160</v>
      </c>
      <c r="N885">
        <v>37</v>
      </c>
      <c r="O885" t="s">
        <v>575</v>
      </c>
      <c r="Q885" t="s">
        <v>576</v>
      </c>
      <c r="R885" t="s">
        <v>1087</v>
      </c>
      <c r="U885">
        <v>7</v>
      </c>
      <c r="V885">
        <v>6</v>
      </c>
      <c r="W885" t="s">
        <v>350</v>
      </c>
      <c r="X885" t="s">
        <v>349</v>
      </c>
      <c r="Y885" t="s">
        <v>580</v>
      </c>
      <c r="Z885">
        <v>2017</v>
      </c>
      <c r="AB885">
        <v>13</v>
      </c>
      <c r="AC885">
        <v>5.55</v>
      </c>
      <c r="AE885" t="s">
        <v>346</v>
      </c>
      <c r="AF885">
        <v>46.142674</v>
      </c>
      <c r="AG885">
        <v>-115.598088</v>
      </c>
      <c r="AH885">
        <v>15156605</v>
      </c>
    </row>
    <row r="886" spans="2:34">
      <c r="B886" t="s">
        <v>345</v>
      </c>
      <c r="C886" t="s">
        <v>1086</v>
      </c>
      <c r="D886" s="3">
        <v>42858.354861111111</v>
      </c>
      <c r="F886">
        <v>2017</v>
      </c>
      <c r="G886" t="s">
        <v>578</v>
      </c>
      <c r="H886" t="s">
        <v>352</v>
      </c>
      <c r="J886">
        <v>0</v>
      </c>
      <c r="L886">
        <v>1</v>
      </c>
      <c r="M886">
        <v>195</v>
      </c>
      <c r="N886">
        <v>68</v>
      </c>
      <c r="O886" t="s">
        <v>575</v>
      </c>
      <c r="Q886" t="s">
        <v>576</v>
      </c>
      <c r="R886" t="s">
        <v>1087</v>
      </c>
      <c r="U886">
        <v>7</v>
      </c>
      <c r="V886">
        <v>6</v>
      </c>
      <c r="W886" t="s">
        <v>350</v>
      </c>
      <c r="X886" t="s">
        <v>349</v>
      </c>
      <c r="Y886" t="s">
        <v>580</v>
      </c>
      <c r="Z886">
        <v>2017</v>
      </c>
      <c r="AB886">
        <v>13</v>
      </c>
      <c r="AC886">
        <v>5.55</v>
      </c>
      <c r="AE886" t="s">
        <v>346</v>
      </c>
      <c r="AF886">
        <v>46.142674</v>
      </c>
      <c r="AG886">
        <v>-115.598088</v>
      </c>
      <c r="AH886">
        <v>15156606</v>
      </c>
    </row>
    <row r="887" spans="2:34">
      <c r="B887" t="s">
        <v>345</v>
      </c>
      <c r="C887" t="s">
        <v>1086</v>
      </c>
      <c r="D887" s="3">
        <v>42858.354861111111</v>
      </c>
      <c r="F887">
        <v>2017</v>
      </c>
      <c r="G887" t="s">
        <v>578</v>
      </c>
      <c r="H887" t="s">
        <v>352</v>
      </c>
      <c r="J887">
        <v>0</v>
      </c>
      <c r="L887">
        <v>1</v>
      </c>
      <c r="M887">
        <v>174</v>
      </c>
      <c r="N887">
        <v>47</v>
      </c>
      <c r="O887" t="s">
        <v>575</v>
      </c>
      <c r="Q887" t="s">
        <v>576</v>
      </c>
      <c r="R887" t="s">
        <v>1087</v>
      </c>
      <c r="U887">
        <v>7</v>
      </c>
      <c r="V887">
        <v>6</v>
      </c>
      <c r="W887" t="s">
        <v>350</v>
      </c>
      <c r="X887" t="s">
        <v>349</v>
      </c>
      <c r="Y887" t="s">
        <v>580</v>
      </c>
      <c r="Z887">
        <v>2017</v>
      </c>
      <c r="AB887">
        <v>13</v>
      </c>
      <c r="AC887">
        <v>5.55</v>
      </c>
      <c r="AE887" t="s">
        <v>346</v>
      </c>
      <c r="AF887">
        <v>46.142674</v>
      </c>
      <c r="AG887">
        <v>-115.598088</v>
      </c>
      <c r="AH887">
        <v>15156607</v>
      </c>
    </row>
    <row r="888" spans="2:34">
      <c r="B888" t="s">
        <v>345</v>
      </c>
      <c r="C888" t="s">
        <v>1086</v>
      </c>
      <c r="D888" s="3">
        <v>42858.354861111111</v>
      </c>
      <c r="F888">
        <v>2017</v>
      </c>
      <c r="G888" t="s">
        <v>578</v>
      </c>
      <c r="H888" t="s">
        <v>352</v>
      </c>
      <c r="J888">
        <v>0</v>
      </c>
      <c r="L888">
        <v>1</v>
      </c>
      <c r="M888">
        <v>172</v>
      </c>
      <c r="N888">
        <v>46</v>
      </c>
      <c r="O888" t="s">
        <v>634</v>
      </c>
      <c r="P888" t="s">
        <v>635</v>
      </c>
      <c r="Q888" t="s">
        <v>635</v>
      </c>
      <c r="R888" t="s">
        <v>1087</v>
      </c>
      <c r="U888">
        <v>7</v>
      </c>
      <c r="V888">
        <v>6</v>
      </c>
      <c r="W888" t="s">
        <v>350</v>
      </c>
      <c r="X888" t="s">
        <v>349</v>
      </c>
      <c r="Y888" t="s">
        <v>580</v>
      </c>
      <c r="Z888">
        <v>2017</v>
      </c>
      <c r="AB888">
        <v>13</v>
      </c>
      <c r="AC888">
        <v>5.55</v>
      </c>
      <c r="AE888" t="s">
        <v>346</v>
      </c>
      <c r="AF888">
        <v>46.142674</v>
      </c>
      <c r="AG888">
        <v>-115.598088</v>
      </c>
      <c r="AH888">
        <v>15156608</v>
      </c>
    </row>
    <row r="889" spans="2:34">
      <c r="B889" t="s">
        <v>345</v>
      </c>
      <c r="C889" t="s">
        <v>1086</v>
      </c>
      <c r="D889" s="3">
        <v>42858.354861111111</v>
      </c>
      <c r="F889">
        <v>2017</v>
      </c>
      <c r="G889" t="s">
        <v>578</v>
      </c>
      <c r="H889" t="s">
        <v>352</v>
      </c>
      <c r="J889">
        <v>0</v>
      </c>
      <c r="L889">
        <v>1</v>
      </c>
      <c r="M889">
        <v>193</v>
      </c>
      <c r="N889">
        <v>66</v>
      </c>
      <c r="O889" t="s">
        <v>575</v>
      </c>
      <c r="Q889" t="s">
        <v>576</v>
      </c>
      <c r="R889" t="s">
        <v>1087</v>
      </c>
      <c r="U889">
        <v>7</v>
      </c>
      <c r="V889">
        <v>6</v>
      </c>
      <c r="W889" t="s">
        <v>350</v>
      </c>
      <c r="X889" t="s">
        <v>349</v>
      </c>
      <c r="Y889" t="s">
        <v>580</v>
      </c>
      <c r="Z889">
        <v>2017</v>
      </c>
      <c r="AB889">
        <v>13</v>
      </c>
      <c r="AC889">
        <v>5.55</v>
      </c>
      <c r="AE889" t="s">
        <v>346</v>
      </c>
      <c r="AF889">
        <v>46.142674</v>
      </c>
      <c r="AG889">
        <v>-115.598088</v>
      </c>
      <c r="AH889">
        <v>15156609</v>
      </c>
    </row>
    <row r="890" spans="2:34">
      <c r="B890" t="s">
        <v>345</v>
      </c>
      <c r="C890" t="s">
        <v>1086</v>
      </c>
      <c r="D890" s="3">
        <v>42858.354861111111</v>
      </c>
      <c r="F890">
        <v>2017</v>
      </c>
      <c r="G890" t="s">
        <v>578</v>
      </c>
      <c r="H890" t="s">
        <v>352</v>
      </c>
      <c r="J890">
        <v>0</v>
      </c>
      <c r="L890">
        <v>1</v>
      </c>
      <c r="M890">
        <v>176</v>
      </c>
      <c r="N890">
        <v>47</v>
      </c>
      <c r="O890" t="s">
        <v>575</v>
      </c>
      <c r="Q890" t="s">
        <v>576</v>
      </c>
      <c r="R890" t="s">
        <v>1087</v>
      </c>
      <c r="U890">
        <v>7</v>
      </c>
      <c r="V890">
        <v>6</v>
      </c>
      <c r="W890" t="s">
        <v>350</v>
      </c>
      <c r="X890" t="s">
        <v>349</v>
      </c>
      <c r="Y890" t="s">
        <v>580</v>
      </c>
      <c r="Z890">
        <v>2017</v>
      </c>
      <c r="AB890">
        <v>13</v>
      </c>
      <c r="AC890">
        <v>5.55</v>
      </c>
      <c r="AE890" t="s">
        <v>346</v>
      </c>
      <c r="AF890">
        <v>46.142674</v>
      </c>
      <c r="AG890">
        <v>-115.598088</v>
      </c>
      <c r="AH890">
        <v>15156610</v>
      </c>
    </row>
    <row r="891" spans="2:34">
      <c r="B891" t="s">
        <v>345</v>
      </c>
      <c r="C891" t="s">
        <v>1086</v>
      </c>
      <c r="D891" s="3">
        <v>42858.354861111111</v>
      </c>
      <c r="F891">
        <v>2017</v>
      </c>
      <c r="G891" t="s">
        <v>574</v>
      </c>
      <c r="H891" t="s">
        <v>352</v>
      </c>
      <c r="J891">
        <v>0</v>
      </c>
      <c r="L891">
        <v>1</v>
      </c>
      <c r="M891">
        <v>103</v>
      </c>
      <c r="N891">
        <v>9</v>
      </c>
      <c r="O891" t="s">
        <v>575</v>
      </c>
      <c r="Q891" t="s">
        <v>576</v>
      </c>
      <c r="R891" t="s">
        <v>1087</v>
      </c>
      <c r="U891">
        <v>7</v>
      </c>
      <c r="V891">
        <v>6</v>
      </c>
      <c r="W891" t="s">
        <v>350</v>
      </c>
      <c r="X891" t="s">
        <v>349</v>
      </c>
      <c r="Y891" t="s">
        <v>580</v>
      </c>
      <c r="Z891">
        <v>2017</v>
      </c>
      <c r="AB891">
        <v>13</v>
      </c>
      <c r="AC891">
        <v>5.55</v>
      </c>
      <c r="AE891" t="s">
        <v>346</v>
      </c>
      <c r="AF891">
        <v>46.142674</v>
      </c>
      <c r="AG891">
        <v>-115.598088</v>
      </c>
      <c r="AH891">
        <v>15156611</v>
      </c>
    </row>
    <row r="892" spans="2:34">
      <c r="B892" t="s">
        <v>345</v>
      </c>
      <c r="C892" t="s">
        <v>1088</v>
      </c>
      <c r="D892" s="3">
        <v>42938.3125</v>
      </c>
      <c r="F892">
        <v>2017</v>
      </c>
      <c r="G892" t="s">
        <v>602</v>
      </c>
      <c r="H892" t="s">
        <v>352</v>
      </c>
      <c r="J892">
        <v>0</v>
      </c>
      <c r="L892">
        <v>3</v>
      </c>
      <c r="O892" t="s">
        <v>643</v>
      </c>
      <c r="U892">
        <v>25</v>
      </c>
      <c r="V892">
        <v>15</v>
      </c>
      <c r="W892" t="s">
        <v>350</v>
      </c>
      <c r="X892" t="s">
        <v>349</v>
      </c>
      <c r="Y892" t="s">
        <v>813</v>
      </c>
      <c r="Z892">
        <v>2017</v>
      </c>
      <c r="AB892">
        <v>10</v>
      </c>
      <c r="AC892">
        <v>0.5</v>
      </c>
      <c r="AE892" t="s">
        <v>346</v>
      </c>
      <c r="AF892">
        <v>46.142674</v>
      </c>
      <c r="AG892">
        <v>-115.598088</v>
      </c>
      <c r="AH892">
        <v>15212495</v>
      </c>
    </row>
    <row r="893" spans="2:34">
      <c r="B893" t="s">
        <v>345</v>
      </c>
      <c r="C893" t="s">
        <v>1088</v>
      </c>
      <c r="D893" s="3">
        <v>42938.3125</v>
      </c>
      <c r="F893">
        <v>2017</v>
      </c>
      <c r="G893" t="s">
        <v>574</v>
      </c>
      <c r="H893" t="s">
        <v>352</v>
      </c>
      <c r="J893">
        <v>0</v>
      </c>
      <c r="L893">
        <v>1</v>
      </c>
      <c r="M893">
        <v>0</v>
      </c>
      <c r="N893">
        <v>0</v>
      </c>
      <c r="O893" t="s">
        <v>609</v>
      </c>
      <c r="U893">
        <v>25</v>
      </c>
      <c r="V893">
        <v>15</v>
      </c>
      <c r="W893" t="s">
        <v>350</v>
      </c>
      <c r="X893" t="s">
        <v>349</v>
      </c>
      <c r="Y893" t="s">
        <v>813</v>
      </c>
      <c r="Z893">
        <v>2017</v>
      </c>
      <c r="AB893">
        <v>10</v>
      </c>
      <c r="AC893">
        <v>0.5</v>
      </c>
      <c r="AE893" t="s">
        <v>346</v>
      </c>
      <c r="AF893">
        <v>46.142674</v>
      </c>
      <c r="AG893">
        <v>-115.598088</v>
      </c>
      <c r="AH893">
        <v>15212496</v>
      </c>
    </row>
    <row r="894" spans="2:34">
      <c r="B894" t="s">
        <v>345</v>
      </c>
      <c r="C894" t="s">
        <v>1088</v>
      </c>
      <c r="D894" s="3">
        <v>42938.3125</v>
      </c>
      <c r="F894">
        <v>2017</v>
      </c>
      <c r="G894" t="s">
        <v>611</v>
      </c>
      <c r="H894" t="s">
        <v>352</v>
      </c>
      <c r="J894">
        <v>0</v>
      </c>
      <c r="L894">
        <v>2</v>
      </c>
      <c r="O894" t="s">
        <v>643</v>
      </c>
      <c r="U894">
        <v>25</v>
      </c>
      <c r="V894">
        <v>15</v>
      </c>
      <c r="W894" t="s">
        <v>350</v>
      </c>
      <c r="X894" t="s">
        <v>349</v>
      </c>
      <c r="Y894" t="s">
        <v>813</v>
      </c>
      <c r="Z894">
        <v>2017</v>
      </c>
      <c r="AB894">
        <v>10</v>
      </c>
      <c r="AC894">
        <v>0.5</v>
      </c>
      <c r="AE894" t="s">
        <v>346</v>
      </c>
      <c r="AF894">
        <v>46.142674</v>
      </c>
      <c r="AG894">
        <v>-115.598088</v>
      </c>
      <c r="AH894">
        <v>15212497</v>
      </c>
    </row>
    <row r="895" spans="2:34">
      <c r="B895" t="s">
        <v>345</v>
      </c>
      <c r="C895" t="s">
        <v>1089</v>
      </c>
      <c r="D895" s="3">
        <v>42845.309027777781</v>
      </c>
      <c r="F895">
        <v>2017</v>
      </c>
      <c r="G895" t="s">
        <v>578</v>
      </c>
      <c r="H895" t="s">
        <v>352</v>
      </c>
      <c r="J895">
        <v>0</v>
      </c>
      <c r="L895">
        <v>1</v>
      </c>
      <c r="M895">
        <v>183</v>
      </c>
      <c r="N895">
        <v>55</v>
      </c>
      <c r="O895" t="s">
        <v>575</v>
      </c>
      <c r="Q895" t="s">
        <v>1090</v>
      </c>
      <c r="R895" t="s">
        <v>1091</v>
      </c>
      <c r="U895">
        <v>6</v>
      </c>
      <c r="V895">
        <v>6</v>
      </c>
      <c r="W895" t="s">
        <v>350</v>
      </c>
      <c r="X895" t="s">
        <v>349</v>
      </c>
      <c r="Y895" t="s">
        <v>580</v>
      </c>
      <c r="Z895">
        <v>2017</v>
      </c>
      <c r="AB895">
        <v>13</v>
      </c>
      <c r="AC895">
        <v>5.61</v>
      </c>
      <c r="AE895" t="s">
        <v>346</v>
      </c>
      <c r="AF895">
        <v>46.142674</v>
      </c>
      <c r="AG895">
        <v>-115.598088</v>
      </c>
      <c r="AH895">
        <v>15214097</v>
      </c>
    </row>
    <row r="896" spans="2:34">
      <c r="B896" t="s">
        <v>345</v>
      </c>
      <c r="C896" t="s">
        <v>1089</v>
      </c>
      <c r="D896" s="3">
        <v>42845.309027777781</v>
      </c>
      <c r="F896">
        <v>2017</v>
      </c>
      <c r="G896" t="s">
        <v>578</v>
      </c>
      <c r="H896" t="s">
        <v>352</v>
      </c>
      <c r="J896">
        <v>0</v>
      </c>
      <c r="L896">
        <v>1</v>
      </c>
      <c r="M896">
        <v>160</v>
      </c>
      <c r="N896">
        <v>36</v>
      </c>
      <c r="O896" t="s">
        <v>575</v>
      </c>
      <c r="Q896" t="s">
        <v>1092</v>
      </c>
      <c r="R896" t="s">
        <v>1091</v>
      </c>
      <c r="U896">
        <v>6</v>
      </c>
      <c r="V896">
        <v>6</v>
      </c>
      <c r="W896" t="s">
        <v>350</v>
      </c>
      <c r="X896" t="s">
        <v>349</v>
      </c>
      <c r="Y896" t="s">
        <v>580</v>
      </c>
      <c r="Z896">
        <v>2017</v>
      </c>
      <c r="AB896">
        <v>13</v>
      </c>
      <c r="AC896">
        <v>5.61</v>
      </c>
      <c r="AE896" t="s">
        <v>346</v>
      </c>
      <c r="AF896">
        <v>46.142674</v>
      </c>
      <c r="AG896">
        <v>-115.598088</v>
      </c>
      <c r="AH896">
        <v>15214098</v>
      </c>
    </row>
    <row r="897" spans="2:34">
      <c r="B897" t="s">
        <v>345</v>
      </c>
      <c r="C897" t="s">
        <v>1089</v>
      </c>
      <c r="D897" s="3">
        <v>42845.309027777781</v>
      </c>
      <c r="F897">
        <v>2017</v>
      </c>
      <c r="G897" t="s">
        <v>578</v>
      </c>
      <c r="H897" t="s">
        <v>352</v>
      </c>
      <c r="J897">
        <v>0</v>
      </c>
      <c r="L897">
        <v>1</v>
      </c>
      <c r="M897">
        <v>126</v>
      </c>
      <c r="N897">
        <v>18</v>
      </c>
      <c r="O897" t="s">
        <v>575</v>
      </c>
      <c r="Q897" t="s">
        <v>1093</v>
      </c>
      <c r="R897" t="s">
        <v>1091</v>
      </c>
      <c r="U897">
        <v>6</v>
      </c>
      <c r="V897">
        <v>6</v>
      </c>
      <c r="W897" t="s">
        <v>350</v>
      </c>
      <c r="X897" t="s">
        <v>349</v>
      </c>
      <c r="Y897" t="s">
        <v>580</v>
      </c>
      <c r="Z897">
        <v>2017</v>
      </c>
      <c r="AB897">
        <v>13</v>
      </c>
      <c r="AC897">
        <v>5.61</v>
      </c>
      <c r="AE897" t="s">
        <v>346</v>
      </c>
      <c r="AF897">
        <v>46.142674</v>
      </c>
      <c r="AG897">
        <v>-115.598088</v>
      </c>
      <c r="AH897">
        <v>15214099</v>
      </c>
    </row>
    <row r="898" spans="2:34">
      <c r="B898" t="s">
        <v>345</v>
      </c>
      <c r="C898" t="s">
        <v>1089</v>
      </c>
      <c r="D898" s="3">
        <v>42845.309027777781</v>
      </c>
      <c r="F898">
        <v>2017</v>
      </c>
      <c r="G898" t="s">
        <v>578</v>
      </c>
      <c r="H898" t="s">
        <v>352</v>
      </c>
      <c r="J898">
        <v>0</v>
      </c>
      <c r="L898">
        <v>1</v>
      </c>
      <c r="M898">
        <v>189</v>
      </c>
      <c r="N898">
        <v>55</v>
      </c>
      <c r="O898" t="s">
        <v>575</v>
      </c>
      <c r="Q898" t="s">
        <v>1094</v>
      </c>
      <c r="R898" t="s">
        <v>1091</v>
      </c>
      <c r="U898">
        <v>6</v>
      </c>
      <c r="V898">
        <v>6</v>
      </c>
      <c r="W898" t="s">
        <v>350</v>
      </c>
      <c r="X898" t="s">
        <v>349</v>
      </c>
      <c r="Y898" t="s">
        <v>580</v>
      </c>
      <c r="Z898">
        <v>2017</v>
      </c>
      <c r="AB898">
        <v>13</v>
      </c>
      <c r="AC898">
        <v>5.61</v>
      </c>
      <c r="AE898" t="s">
        <v>346</v>
      </c>
      <c r="AF898">
        <v>46.142674</v>
      </c>
      <c r="AG898">
        <v>-115.598088</v>
      </c>
      <c r="AH898">
        <v>15214100</v>
      </c>
    </row>
    <row r="899" spans="2:34">
      <c r="B899" t="s">
        <v>345</v>
      </c>
      <c r="C899" t="s">
        <v>1089</v>
      </c>
      <c r="D899" s="3">
        <v>42845.309027777781</v>
      </c>
      <c r="F899">
        <v>2017</v>
      </c>
      <c r="G899" t="s">
        <v>578</v>
      </c>
      <c r="H899" t="s">
        <v>352</v>
      </c>
      <c r="J899">
        <v>0</v>
      </c>
      <c r="L899">
        <v>1</v>
      </c>
      <c r="M899">
        <v>192</v>
      </c>
      <c r="N899">
        <v>67</v>
      </c>
      <c r="O899" t="s">
        <v>575</v>
      </c>
      <c r="Q899" t="s">
        <v>1095</v>
      </c>
      <c r="R899" t="s">
        <v>1091</v>
      </c>
      <c r="U899">
        <v>6</v>
      </c>
      <c r="V899">
        <v>6</v>
      </c>
      <c r="W899" t="s">
        <v>350</v>
      </c>
      <c r="X899" t="s">
        <v>349</v>
      </c>
      <c r="Y899" t="s">
        <v>580</v>
      </c>
      <c r="Z899">
        <v>2017</v>
      </c>
      <c r="AB899">
        <v>13</v>
      </c>
      <c r="AC899">
        <v>5.61</v>
      </c>
      <c r="AE899" t="s">
        <v>346</v>
      </c>
      <c r="AF899">
        <v>46.142674</v>
      </c>
      <c r="AG899">
        <v>-115.598088</v>
      </c>
      <c r="AH899">
        <v>15214101</v>
      </c>
    </row>
    <row r="900" spans="2:34">
      <c r="B900" t="s">
        <v>345</v>
      </c>
      <c r="C900" t="s">
        <v>1089</v>
      </c>
      <c r="D900" s="3">
        <v>42845.309027777781</v>
      </c>
      <c r="F900">
        <v>2017</v>
      </c>
      <c r="G900" t="s">
        <v>578</v>
      </c>
      <c r="H900" t="s">
        <v>352</v>
      </c>
      <c r="J900">
        <v>0</v>
      </c>
      <c r="L900">
        <v>1</v>
      </c>
      <c r="M900">
        <v>190</v>
      </c>
      <c r="N900">
        <v>66</v>
      </c>
      <c r="O900" t="s">
        <v>575</v>
      </c>
      <c r="Q900" t="s">
        <v>1096</v>
      </c>
      <c r="R900" t="s">
        <v>1091</v>
      </c>
      <c r="U900">
        <v>6</v>
      </c>
      <c r="V900">
        <v>6</v>
      </c>
      <c r="W900" t="s">
        <v>350</v>
      </c>
      <c r="X900" t="s">
        <v>349</v>
      </c>
      <c r="Y900" t="s">
        <v>580</v>
      </c>
      <c r="Z900">
        <v>2017</v>
      </c>
      <c r="AB900">
        <v>13</v>
      </c>
      <c r="AC900">
        <v>5.61</v>
      </c>
      <c r="AE900" t="s">
        <v>346</v>
      </c>
      <c r="AF900">
        <v>46.142674</v>
      </c>
      <c r="AG900">
        <v>-115.598088</v>
      </c>
      <c r="AH900">
        <v>15214102</v>
      </c>
    </row>
    <row r="901" spans="2:34">
      <c r="B901" t="s">
        <v>345</v>
      </c>
      <c r="C901" t="s">
        <v>1089</v>
      </c>
      <c r="D901" s="3">
        <v>42845.309027777781</v>
      </c>
      <c r="F901">
        <v>2017</v>
      </c>
      <c r="G901" t="s">
        <v>578</v>
      </c>
      <c r="H901" t="s">
        <v>352</v>
      </c>
      <c r="J901">
        <v>0</v>
      </c>
      <c r="L901">
        <v>1</v>
      </c>
      <c r="M901">
        <v>179</v>
      </c>
      <c r="N901">
        <v>50</v>
      </c>
      <c r="O901" t="s">
        <v>575</v>
      </c>
      <c r="Q901" t="s">
        <v>1097</v>
      </c>
      <c r="R901" t="s">
        <v>1091</v>
      </c>
      <c r="U901">
        <v>6</v>
      </c>
      <c r="V901">
        <v>6</v>
      </c>
      <c r="W901" t="s">
        <v>350</v>
      </c>
      <c r="X901" t="s">
        <v>349</v>
      </c>
      <c r="Y901" t="s">
        <v>580</v>
      </c>
      <c r="Z901">
        <v>2017</v>
      </c>
      <c r="AB901">
        <v>13</v>
      </c>
      <c r="AC901">
        <v>5.61</v>
      </c>
      <c r="AE901" t="s">
        <v>346</v>
      </c>
      <c r="AF901">
        <v>46.142674</v>
      </c>
      <c r="AG901">
        <v>-115.598088</v>
      </c>
      <c r="AH901">
        <v>15214103</v>
      </c>
    </row>
    <row r="902" spans="2:34">
      <c r="B902" t="s">
        <v>345</v>
      </c>
      <c r="C902" t="s">
        <v>1089</v>
      </c>
      <c r="D902" s="3">
        <v>42845.309027777781</v>
      </c>
      <c r="F902">
        <v>2017</v>
      </c>
      <c r="G902" t="s">
        <v>578</v>
      </c>
      <c r="H902" t="s">
        <v>352</v>
      </c>
      <c r="J902">
        <v>0</v>
      </c>
      <c r="L902">
        <v>1</v>
      </c>
      <c r="M902">
        <v>161</v>
      </c>
      <c r="N902">
        <v>37</v>
      </c>
      <c r="O902" t="s">
        <v>575</v>
      </c>
      <c r="Q902" t="s">
        <v>1098</v>
      </c>
      <c r="R902" t="s">
        <v>1091</v>
      </c>
      <c r="U902">
        <v>6</v>
      </c>
      <c r="V902">
        <v>6</v>
      </c>
      <c r="W902" t="s">
        <v>350</v>
      </c>
      <c r="X902" t="s">
        <v>349</v>
      </c>
      <c r="Y902" t="s">
        <v>580</v>
      </c>
      <c r="Z902">
        <v>2017</v>
      </c>
      <c r="AB902">
        <v>13</v>
      </c>
      <c r="AC902">
        <v>5.61</v>
      </c>
      <c r="AE902" t="s">
        <v>346</v>
      </c>
      <c r="AF902">
        <v>46.142674</v>
      </c>
      <c r="AG902">
        <v>-115.598088</v>
      </c>
      <c r="AH902">
        <v>15214104</v>
      </c>
    </row>
    <row r="903" spans="2:34">
      <c r="B903" t="s">
        <v>345</v>
      </c>
      <c r="C903" t="s">
        <v>1089</v>
      </c>
      <c r="D903" s="3">
        <v>42845.309027777781</v>
      </c>
      <c r="F903">
        <v>2017</v>
      </c>
      <c r="G903" t="s">
        <v>578</v>
      </c>
      <c r="H903" t="s">
        <v>352</v>
      </c>
      <c r="J903">
        <v>0</v>
      </c>
      <c r="L903">
        <v>1</v>
      </c>
      <c r="M903">
        <v>162</v>
      </c>
      <c r="N903">
        <v>42</v>
      </c>
      <c r="O903" t="s">
        <v>575</v>
      </c>
      <c r="Q903" t="s">
        <v>1099</v>
      </c>
      <c r="R903" t="s">
        <v>1091</v>
      </c>
      <c r="U903">
        <v>6</v>
      </c>
      <c r="V903">
        <v>6</v>
      </c>
      <c r="W903" t="s">
        <v>350</v>
      </c>
      <c r="X903" t="s">
        <v>349</v>
      </c>
      <c r="Y903" t="s">
        <v>580</v>
      </c>
      <c r="Z903">
        <v>2017</v>
      </c>
      <c r="AB903">
        <v>13</v>
      </c>
      <c r="AC903">
        <v>5.61</v>
      </c>
      <c r="AE903" t="s">
        <v>346</v>
      </c>
      <c r="AF903">
        <v>46.142674</v>
      </c>
      <c r="AG903">
        <v>-115.598088</v>
      </c>
      <c r="AH903">
        <v>15214105</v>
      </c>
    </row>
    <row r="904" spans="2:34">
      <c r="B904" t="s">
        <v>345</v>
      </c>
      <c r="C904" t="s">
        <v>1089</v>
      </c>
      <c r="D904" s="3">
        <v>42845.309027777781</v>
      </c>
      <c r="F904">
        <v>2017</v>
      </c>
      <c r="G904" t="s">
        <v>578</v>
      </c>
      <c r="H904" t="s">
        <v>352</v>
      </c>
      <c r="J904">
        <v>0</v>
      </c>
      <c r="L904">
        <v>1</v>
      </c>
      <c r="M904">
        <v>193</v>
      </c>
      <c r="N904">
        <v>65</v>
      </c>
      <c r="O904" t="s">
        <v>575</v>
      </c>
      <c r="Q904" t="s">
        <v>1100</v>
      </c>
      <c r="R904" t="s">
        <v>1091</v>
      </c>
      <c r="U904">
        <v>6</v>
      </c>
      <c r="V904">
        <v>6</v>
      </c>
      <c r="W904" t="s">
        <v>350</v>
      </c>
      <c r="X904" t="s">
        <v>349</v>
      </c>
      <c r="Y904" t="s">
        <v>580</v>
      </c>
      <c r="Z904">
        <v>2017</v>
      </c>
      <c r="AB904">
        <v>13</v>
      </c>
      <c r="AC904">
        <v>5.61</v>
      </c>
      <c r="AE904" t="s">
        <v>346</v>
      </c>
      <c r="AF904">
        <v>46.142674</v>
      </c>
      <c r="AG904">
        <v>-115.598088</v>
      </c>
      <c r="AH904">
        <v>15214106</v>
      </c>
    </row>
    <row r="905" spans="2:34">
      <c r="B905" t="s">
        <v>345</v>
      </c>
      <c r="C905" t="s">
        <v>1089</v>
      </c>
      <c r="D905" s="3">
        <v>42845.309027777781</v>
      </c>
      <c r="F905">
        <v>2017</v>
      </c>
      <c r="G905" t="s">
        <v>578</v>
      </c>
      <c r="H905" t="s">
        <v>352</v>
      </c>
      <c r="J905">
        <v>0</v>
      </c>
      <c r="L905">
        <v>1</v>
      </c>
      <c r="M905">
        <v>164</v>
      </c>
      <c r="N905">
        <v>37</v>
      </c>
      <c r="O905" t="s">
        <v>575</v>
      </c>
      <c r="Q905" t="s">
        <v>1101</v>
      </c>
      <c r="R905" t="s">
        <v>1091</v>
      </c>
      <c r="U905">
        <v>6</v>
      </c>
      <c r="V905">
        <v>6</v>
      </c>
      <c r="W905" t="s">
        <v>350</v>
      </c>
      <c r="X905" t="s">
        <v>349</v>
      </c>
      <c r="Y905" t="s">
        <v>580</v>
      </c>
      <c r="Z905">
        <v>2017</v>
      </c>
      <c r="AB905">
        <v>13</v>
      </c>
      <c r="AC905">
        <v>5.61</v>
      </c>
      <c r="AE905" t="s">
        <v>346</v>
      </c>
      <c r="AF905">
        <v>46.142674</v>
      </c>
      <c r="AG905">
        <v>-115.598088</v>
      </c>
      <c r="AH905">
        <v>15214107</v>
      </c>
    </row>
    <row r="906" spans="2:34">
      <c r="B906" t="s">
        <v>345</v>
      </c>
      <c r="C906" t="s">
        <v>1089</v>
      </c>
      <c r="D906" s="3">
        <v>42845.309027777781</v>
      </c>
      <c r="F906">
        <v>2017</v>
      </c>
      <c r="G906" t="s">
        <v>578</v>
      </c>
      <c r="H906" t="s">
        <v>352</v>
      </c>
      <c r="J906">
        <v>0</v>
      </c>
      <c r="L906">
        <v>1</v>
      </c>
      <c r="M906">
        <v>196</v>
      </c>
      <c r="N906">
        <v>58</v>
      </c>
      <c r="O906" t="s">
        <v>575</v>
      </c>
      <c r="Q906" t="s">
        <v>1102</v>
      </c>
      <c r="R906" t="s">
        <v>1091</v>
      </c>
      <c r="U906">
        <v>6</v>
      </c>
      <c r="V906">
        <v>6</v>
      </c>
      <c r="W906" t="s">
        <v>350</v>
      </c>
      <c r="X906" t="s">
        <v>349</v>
      </c>
      <c r="Y906" t="s">
        <v>580</v>
      </c>
      <c r="Z906">
        <v>2017</v>
      </c>
      <c r="AB906">
        <v>13</v>
      </c>
      <c r="AC906">
        <v>5.61</v>
      </c>
      <c r="AE906" t="s">
        <v>346</v>
      </c>
      <c r="AF906">
        <v>46.142674</v>
      </c>
      <c r="AG906">
        <v>-115.598088</v>
      </c>
      <c r="AH906">
        <v>15214108</v>
      </c>
    </row>
    <row r="907" spans="2:34">
      <c r="B907" t="s">
        <v>345</v>
      </c>
      <c r="C907" t="s">
        <v>1089</v>
      </c>
      <c r="D907" s="3">
        <v>42845.309027777781</v>
      </c>
      <c r="F907">
        <v>2017</v>
      </c>
      <c r="G907" t="s">
        <v>578</v>
      </c>
      <c r="H907" t="s">
        <v>352</v>
      </c>
      <c r="J907">
        <v>0</v>
      </c>
      <c r="L907">
        <v>1</v>
      </c>
      <c r="M907">
        <v>169</v>
      </c>
      <c r="N907">
        <v>40</v>
      </c>
      <c r="O907" t="s">
        <v>575</v>
      </c>
      <c r="Q907" t="s">
        <v>1103</v>
      </c>
      <c r="R907" t="s">
        <v>1091</v>
      </c>
      <c r="U907">
        <v>6</v>
      </c>
      <c r="V907">
        <v>6</v>
      </c>
      <c r="W907" t="s">
        <v>350</v>
      </c>
      <c r="X907" t="s">
        <v>349</v>
      </c>
      <c r="Y907" t="s">
        <v>580</v>
      </c>
      <c r="Z907">
        <v>2017</v>
      </c>
      <c r="AB907">
        <v>13</v>
      </c>
      <c r="AC907">
        <v>5.61</v>
      </c>
      <c r="AE907" t="s">
        <v>346</v>
      </c>
      <c r="AF907">
        <v>46.142674</v>
      </c>
      <c r="AG907">
        <v>-115.598088</v>
      </c>
      <c r="AH907">
        <v>15214109</v>
      </c>
    </row>
    <row r="908" spans="2:34">
      <c r="B908" t="s">
        <v>345</v>
      </c>
      <c r="C908" t="s">
        <v>1089</v>
      </c>
      <c r="D908" s="3">
        <v>42845.309027777781</v>
      </c>
      <c r="F908">
        <v>2017</v>
      </c>
      <c r="G908" t="s">
        <v>578</v>
      </c>
      <c r="H908" t="s">
        <v>352</v>
      </c>
      <c r="J908">
        <v>0</v>
      </c>
      <c r="L908">
        <v>1</v>
      </c>
      <c r="M908">
        <v>181</v>
      </c>
      <c r="N908">
        <v>57</v>
      </c>
      <c r="O908" t="s">
        <v>575</v>
      </c>
      <c r="Q908" t="s">
        <v>1104</v>
      </c>
      <c r="R908" t="s">
        <v>1091</v>
      </c>
      <c r="U908">
        <v>6</v>
      </c>
      <c r="V908">
        <v>6</v>
      </c>
      <c r="W908" t="s">
        <v>350</v>
      </c>
      <c r="X908" t="s">
        <v>349</v>
      </c>
      <c r="Y908" t="s">
        <v>580</v>
      </c>
      <c r="Z908">
        <v>2017</v>
      </c>
      <c r="AB908">
        <v>13</v>
      </c>
      <c r="AC908">
        <v>5.61</v>
      </c>
      <c r="AE908" t="s">
        <v>346</v>
      </c>
      <c r="AF908">
        <v>46.142674</v>
      </c>
      <c r="AG908">
        <v>-115.598088</v>
      </c>
      <c r="AH908">
        <v>15214110</v>
      </c>
    </row>
    <row r="909" spans="2:34">
      <c r="B909" t="s">
        <v>345</v>
      </c>
      <c r="C909" t="s">
        <v>1089</v>
      </c>
      <c r="D909" s="3">
        <v>42845.309027777781</v>
      </c>
      <c r="F909">
        <v>2017</v>
      </c>
      <c r="G909" t="s">
        <v>578</v>
      </c>
      <c r="H909" t="s">
        <v>352</v>
      </c>
      <c r="J909">
        <v>0</v>
      </c>
      <c r="L909">
        <v>1</v>
      </c>
      <c r="M909">
        <v>160</v>
      </c>
      <c r="N909">
        <v>34</v>
      </c>
      <c r="O909" t="s">
        <v>575</v>
      </c>
      <c r="Q909" t="s">
        <v>1105</v>
      </c>
      <c r="R909" t="s">
        <v>1091</v>
      </c>
      <c r="U909">
        <v>6</v>
      </c>
      <c r="V909">
        <v>6</v>
      </c>
      <c r="W909" t="s">
        <v>350</v>
      </c>
      <c r="X909" t="s">
        <v>349</v>
      </c>
      <c r="Y909" t="s">
        <v>580</v>
      </c>
      <c r="Z909">
        <v>2017</v>
      </c>
      <c r="AB909">
        <v>13</v>
      </c>
      <c r="AC909">
        <v>5.61</v>
      </c>
      <c r="AE909" t="s">
        <v>346</v>
      </c>
      <c r="AF909">
        <v>46.142674</v>
      </c>
      <c r="AG909">
        <v>-115.598088</v>
      </c>
      <c r="AH909">
        <v>15214111</v>
      </c>
    </row>
    <row r="910" spans="2:34">
      <c r="B910" t="s">
        <v>345</v>
      </c>
      <c r="C910" t="s">
        <v>1089</v>
      </c>
      <c r="D910" s="3">
        <v>42845.309027777781</v>
      </c>
      <c r="F910">
        <v>2017</v>
      </c>
      <c r="G910" t="s">
        <v>578</v>
      </c>
      <c r="H910" t="s">
        <v>352</v>
      </c>
      <c r="J910">
        <v>0</v>
      </c>
      <c r="L910">
        <v>1</v>
      </c>
      <c r="M910">
        <v>169</v>
      </c>
      <c r="N910">
        <v>44</v>
      </c>
      <c r="O910" t="s">
        <v>575</v>
      </c>
      <c r="Q910" t="s">
        <v>1106</v>
      </c>
      <c r="R910" t="s">
        <v>1091</v>
      </c>
      <c r="U910">
        <v>6</v>
      </c>
      <c r="V910">
        <v>6</v>
      </c>
      <c r="W910" t="s">
        <v>350</v>
      </c>
      <c r="X910" t="s">
        <v>349</v>
      </c>
      <c r="Y910" t="s">
        <v>580</v>
      </c>
      <c r="Z910">
        <v>2017</v>
      </c>
      <c r="AB910">
        <v>13</v>
      </c>
      <c r="AC910">
        <v>5.61</v>
      </c>
      <c r="AE910" t="s">
        <v>346</v>
      </c>
      <c r="AF910">
        <v>46.142674</v>
      </c>
      <c r="AG910">
        <v>-115.598088</v>
      </c>
      <c r="AH910">
        <v>15214112</v>
      </c>
    </row>
    <row r="911" spans="2:34">
      <c r="B911" t="s">
        <v>345</v>
      </c>
      <c r="C911" t="s">
        <v>1089</v>
      </c>
      <c r="D911" s="3">
        <v>42845.309027777781</v>
      </c>
      <c r="F911">
        <v>2017</v>
      </c>
      <c r="G911" t="s">
        <v>578</v>
      </c>
      <c r="H911" t="s">
        <v>352</v>
      </c>
      <c r="J911">
        <v>0</v>
      </c>
      <c r="L911">
        <v>1</v>
      </c>
      <c r="M911">
        <v>195</v>
      </c>
      <c r="N911">
        <v>64</v>
      </c>
      <c r="O911" t="s">
        <v>575</v>
      </c>
      <c r="Q911" t="s">
        <v>1107</v>
      </c>
      <c r="R911" t="s">
        <v>1091</v>
      </c>
      <c r="U911">
        <v>6</v>
      </c>
      <c r="V911">
        <v>6</v>
      </c>
      <c r="W911" t="s">
        <v>350</v>
      </c>
      <c r="X911" t="s">
        <v>349</v>
      </c>
      <c r="Y911" t="s">
        <v>580</v>
      </c>
      <c r="Z911">
        <v>2017</v>
      </c>
      <c r="AB911">
        <v>13</v>
      </c>
      <c r="AC911">
        <v>5.61</v>
      </c>
      <c r="AE911" t="s">
        <v>346</v>
      </c>
      <c r="AF911">
        <v>46.142674</v>
      </c>
      <c r="AG911">
        <v>-115.598088</v>
      </c>
      <c r="AH911">
        <v>15214113</v>
      </c>
    </row>
    <row r="912" spans="2:34">
      <c r="B912" t="s">
        <v>345</v>
      </c>
      <c r="C912" t="s">
        <v>1089</v>
      </c>
      <c r="D912" s="3">
        <v>42845.309027777781</v>
      </c>
      <c r="F912">
        <v>2017</v>
      </c>
      <c r="G912" t="s">
        <v>578</v>
      </c>
      <c r="H912" t="s">
        <v>352</v>
      </c>
      <c r="J912">
        <v>0</v>
      </c>
      <c r="L912">
        <v>1</v>
      </c>
      <c r="M912">
        <v>190</v>
      </c>
      <c r="N912">
        <v>61</v>
      </c>
      <c r="O912" t="s">
        <v>575</v>
      </c>
      <c r="Q912" t="s">
        <v>1108</v>
      </c>
      <c r="R912" t="s">
        <v>1091</v>
      </c>
      <c r="U912">
        <v>6</v>
      </c>
      <c r="V912">
        <v>6</v>
      </c>
      <c r="W912" t="s">
        <v>350</v>
      </c>
      <c r="X912" t="s">
        <v>349</v>
      </c>
      <c r="Y912" t="s">
        <v>580</v>
      </c>
      <c r="Z912">
        <v>2017</v>
      </c>
      <c r="AB912">
        <v>13</v>
      </c>
      <c r="AC912">
        <v>5.61</v>
      </c>
      <c r="AE912" t="s">
        <v>346</v>
      </c>
      <c r="AF912">
        <v>46.142674</v>
      </c>
      <c r="AG912">
        <v>-115.598088</v>
      </c>
      <c r="AH912">
        <v>15214114</v>
      </c>
    </row>
    <row r="913" spans="2:34">
      <c r="B913" t="s">
        <v>345</v>
      </c>
      <c r="C913" t="s">
        <v>1089</v>
      </c>
      <c r="D913" s="3">
        <v>42845.309027777781</v>
      </c>
      <c r="F913">
        <v>2017</v>
      </c>
      <c r="G913" t="s">
        <v>578</v>
      </c>
      <c r="H913" t="s">
        <v>352</v>
      </c>
      <c r="J913">
        <v>0</v>
      </c>
      <c r="L913">
        <v>1</v>
      </c>
      <c r="M913">
        <v>193</v>
      </c>
      <c r="N913">
        <v>62</v>
      </c>
      <c r="O913" t="s">
        <v>575</v>
      </c>
      <c r="Q913" t="s">
        <v>1109</v>
      </c>
      <c r="R913" t="s">
        <v>1091</v>
      </c>
      <c r="U913">
        <v>6</v>
      </c>
      <c r="V913">
        <v>6</v>
      </c>
      <c r="W913" t="s">
        <v>350</v>
      </c>
      <c r="X913" t="s">
        <v>349</v>
      </c>
      <c r="Y913" t="s">
        <v>580</v>
      </c>
      <c r="Z913">
        <v>2017</v>
      </c>
      <c r="AB913">
        <v>13</v>
      </c>
      <c r="AC913">
        <v>5.61</v>
      </c>
      <c r="AE913" t="s">
        <v>346</v>
      </c>
      <c r="AF913">
        <v>46.142674</v>
      </c>
      <c r="AG913">
        <v>-115.598088</v>
      </c>
      <c r="AH913">
        <v>15214115</v>
      </c>
    </row>
    <row r="914" spans="2:34">
      <c r="B914" t="s">
        <v>345</v>
      </c>
      <c r="C914" t="s">
        <v>1089</v>
      </c>
      <c r="D914" s="3">
        <v>42845.309027777781</v>
      </c>
      <c r="F914">
        <v>2017</v>
      </c>
      <c r="G914" t="s">
        <v>351</v>
      </c>
      <c r="H914" t="s">
        <v>352</v>
      </c>
      <c r="J914">
        <v>0</v>
      </c>
      <c r="L914">
        <v>1</v>
      </c>
      <c r="M914">
        <v>136</v>
      </c>
      <c r="N914">
        <v>4</v>
      </c>
      <c r="O914" t="s">
        <v>353</v>
      </c>
      <c r="R914" t="s">
        <v>1091</v>
      </c>
      <c r="U914">
        <v>6</v>
      </c>
      <c r="V914">
        <v>6</v>
      </c>
      <c r="W914" t="s">
        <v>350</v>
      </c>
      <c r="X914" t="s">
        <v>349</v>
      </c>
      <c r="Y914" t="s">
        <v>580</v>
      </c>
      <c r="Z914">
        <v>2017</v>
      </c>
      <c r="AB914">
        <v>13</v>
      </c>
      <c r="AC914">
        <v>5.61</v>
      </c>
      <c r="AE914" t="s">
        <v>346</v>
      </c>
      <c r="AF914">
        <v>46.142674</v>
      </c>
      <c r="AG914">
        <v>-115.598088</v>
      </c>
      <c r="AH914">
        <v>15214116</v>
      </c>
    </row>
    <row r="915" spans="2:34">
      <c r="B915" t="s">
        <v>345</v>
      </c>
      <c r="C915" t="s">
        <v>1089</v>
      </c>
      <c r="D915" s="3">
        <v>42845.309027777781</v>
      </c>
      <c r="F915">
        <v>2017</v>
      </c>
      <c r="G915" t="s">
        <v>578</v>
      </c>
      <c r="H915" t="s">
        <v>352</v>
      </c>
      <c r="J915">
        <v>0</v>
      </c>
      <c r="L915">
        <v>1</v>
      </c>
      <c r="M915">
        <v>192</v>
      </c>
      <c r="N915">
        <v>66</v>
      </c>
      <c r="O915" t="s">
        <v>575</v>
      </c>
      <c r="Q915" t="s">
        <v>1110</v>
      </c>
      <c r="R915" t="s">
        <v>1091</v>
      </c>
      <c r="U915">
        <v>6</v>
      </c>
      <c r="V915">
        <v>6</v>
      </c>
      <c r="W915" t="s">
        <v>350</v>
      </c>
      <c r="X915" t="s">
        <v>349</v>
      </c>
      <c r="Y915" t="s">
        <v>580</v>
      </c>
      <c r="Z915">
        <v>2017</v>
      </c>
      <c r="AB915">
        <v>13</v>
      </c>
      <c r="AC915">
        <v>5.61</v>
      </c>
      <c r="AE915" t="s">
        <v>346</v>
      </c>
      <c r="AF915">
        <v>46.142674</v>
      </c>
      <c r="AG915">
        <v>-115.598088</v>
      </c>
      <c r="AH915">
        <v>15214117</v>
      </c>
    </row>
    <row r="916" spans="2:34">
      <c r="B916" t="s">
        <v>345</v>
      </c>
      <c r="C916" t="s">
        <v>1089</v>
      </c>
      <c r="D916" s="3">
        <v>42845.309027777781</v>
      </c>
      <c r="F916">
        <v>2017</v>
      </c>
      <c r="G916" t="s">
        <v>578</v>
      </c>
      <c r="H916" t="s">
        <v>352</v>
      </c>
      <c r="J916">
        <v>0</v>
      </c>
      <c r="L916">
        <v>1</v>
      </c>
      <c r="M916">
        <v>155</v>
      </c>
      <c r="N916">
        <v>36</v>
      </c>
      <c r="O916" t="s">
        <v>575</v>
      </c>
      <c r="Q916" t="s">
        <v>1111</v>
      </c>
      <c r="R916" t="s">
        <v>1091</v>
      </c>
      <c r="U916">
        <v>6</v>
      </c>
      <c r="V916">
        <v>6</v>
      </c>
      <c r="W916" t="s">
        <v>350</v>
      </c>
      <c r="X916" t="s">
        <v>349</v>
      </c>
      <c r="Y916" t="s">
        <v>580</v>
      </c>
      <c r="Z916">
        <v>2017</v>
      </c>
      <c r="AB916">
        <v>13</v>
      </c>
      <c r="AC916">
        <v>5.61</v>
      </c>
      <c r="AE916" t="s">
        <v>346</v>
      </c>
      <c r="AF916">
        <v>46.142674</v>
      </c>
      <c r="AG916">
        <v>-115.598088</v>
      </c>
      <c r="AH916">
        <v>15214118</v>
      </c>
    </row>
    <row r="917" spans="2:34">
      <c r="B917" t="s">
        <v>345</v>
      </c>
      <c r="C917" t="s">
        <v>1089</v>
      </c>
      <c r="D917" s="3">
        <v>42845.309027777781</v>
      </c>
      <c r="F917">
        <v>2017</v>
      </c>
      <c r="G917" t="s">
        <v>578</v>
      </c>
      <c r="H917" t="s">
        <v>352</v>
      </c>
      <c r="J917">
        <v>0</v>
      </c>
      <c r="L917">
        <v>1</v>
      </c>
      <c r="M917">
        <v>162</v>
      </c>
      <c r="N917">
        <v>40</v>
      </c>
      <c r="O917" t="s">
        <v>575</v>
      </c>
      <c r="Q917" t="s">
        <v>1112</v>
      </c>
      <c r="R917" t="s">
        <v>1091</v>
      </c>
      <c r="U917">
        <v>6</v>
      </c>
      <c r="V917">
        <v>6</v>
      </c>
      <c r="W917" t="s">
        <v>350</v>
      </c>
      <c r="X917" t="s">
        <v>349</v>
      </c>
      <c r="Y917" t="s">
        <v>580</v>
      </c>
      <c r="Z917">
        <v>2017</v>
      </c>
      <c r="AB917">
        <v>13</v>
      </c>
      <c r="AC917">
        <v>5.61</v>
      </c>
      <c r="AE917" t="s">
        <v>346</v>
      </c>
      <c r="AF917">
        <v>46.142674</v>
      </c>
      <c r="AG917">
        <v>-115.598088</v>
      </c>
      <c r="AH917">
        <v>15214119</v>
      </c>
    </row>
    <row r="918" spans="2:34">
      <c r="B918" t="s">
        <v>345</v>
      </c>
      <c r="C918" t="s">
        <v>1089</v>
      </c>
      <c r="D918" s="3">
        <v>42845.309027777781</v>
      </c>
      <c r="F918">
        <v>2017</v>
      </c>
      <c r="G918" t="s">
        <v>351</v>
      </c>
      <c r="H918" t="s">
        <v>352</v>
      </c>
      <c r="J918">
        <v>0</v>
      </c>
      <c r="L918">
        <v>1</v>
      </c>
      <c r="M918">
        <v>120</v>
      </c>
      <c r="N918">
        <v>3</v>
      </c>
      <c r="O918" t="s">
        <v>353</v>
      </c>
      <c r="R918" t="s">
        <v>1091</v>
      </c>
      <c r="U918">
        <v>6</v>
      </c>
      <c r="V918">
        <v>6</v>
      </c>
      <c r="W918" t="s">
        <v>350</v>
      </c>
      <c r="X918" t="s">
        <v>349</v>
      </c>
      <c r="Y918" t="s">
        <v>580</v>
      </c>
      <c r="Z918">
        <v>2017</v>
      </c>
      <c r="AB918">
        <v>13</v>
      </c>
      <c r="AC918">
        <v>5.61</v>
      </c>
      <c r="AE918" t="s">
        <v>346</v>
      </c>
      <c r="AF918">
        <v>46.142674</v>
      </c>
      <c r="AG918">
        <v>-115.598088</v>
      </c>
      <c r="AH918">
        <v>15214120</v>
      </c>
    </row>
    <row r="919" spans="2:34">
      <c r="B919" t="s">
        <v>345</v>
      </c>
      <c r="C919" t="s">
        <v>1089</v>
      </c>
      <c r="D919" s="3">
        <v>42845.309027777781</v>
      </c>
      <c r="F919">
        <v>2017</v>
      </c>
      <c r="G919" t="s">
        <v>578</v>
      </c>
      <c r="H919" t="s">
        <v>352</v>
      </c>
      <c r="J919">
        <v>0</v>
      </c>
      <c r="L919">
        <v>1</v>
      </c>
      <c r="M919">
        <v>193</v>
      </c>
      <c r="N919">
        <v>63</v>
      </c>
      <c r="O919" t="s">
        <v>575</v>
      </c>
      <c r="Q919" t="s">
        <v>1113</v>
      </c>
      <c r="R919" t="s">
        <v>1091</v>
      </c>
      <c r="U919">
        <v>6</v>
      </c>
      <c r="V919">
        <v>6</v>
      </c>
      <c r="W919" t="s">
        <v>350</v>
      </c>
      <c r="X919" t="s">
        <v>349</v>
      </c>
      <c r="Y919" t="s">
        <v>580</v>
      </c>
      <c r="Z919">
        <v>2017</v>
      </c>
      <c r="AB919">
        <v>13</v>
      </c>
      <c r="AC919">
        <v>5.61</v>
      </c>
      <c r="AE919" t="s">
        <v>346</v>
      </c>
      <c r="AF919">
        <v>46.142674</v>
      </c>
      <c r="AG919">
        <v>-115.598088</v>
      </c>
      <c r="AH919">
        <v>15214121</v>
      </c>
    </row>
    <row r="920" spans="2:34">
      <c r="B920" t="s">
        <v>345</v>
      </c>
      <c r="C920" t="s">
        <v>1089</v>
      </c>
      <c r="D920" s="3">
        <v>42845.309027777781</v>
      </c>
      <c r="F920">
        <v>2017</v>
      </c>
      <c r="G920" t="s">
        <v>578</v>
      </c>
      <c r="H920" t="s">
        <v>352</v>
      </c>
      <c r="J920">
        <v>0</v>
      </c>
      <c r="L920">
        <v>1</v>
      </c>
      <c r="M920">
        <v>179</v>
      </c>
      <c r="N920">
        <v>48</v>
      </c>
      <c r="O920" t="s">
        <v>575</v>
      </c>
      <c r="Q920" t="s">
        <v>1114</v>
      </c>
      <c r="R920" t="s">
        <v>1091</v>
      </c>
      <c r="U920">
        <v>6</v>
      </c>
      <c r="V920">
        <v>6</v>
      </c>
      <c r="W920" t="s">
        <v>350</v>
      </c>
      <c r="X920" t="s">
        <v>349</v>
      </c>
      <c r="Y920" t="s">
        <v>580</v>
      </c>
      <c r="Z920">
        <v>2017</v>
      </c>
      <c r="AB920">
        <v>13</v>
      </c>
      <c r="AC920">
        <v>5.61</v>
      </c>
      <c r="AE920" t="s">
        <v>346</v>
      </c>
      <c r="AF920">
        <v>46.142674</v>
      </c>
      <c r="AG920">
        <v>-115.598088</v>
      </c>
      <c r="AH920">
        <v>15214122</v>
      </c>
    </row>
    <row r="921" spans="2:34">
      <c r="B921" t="s">
        <v>345</v>
      </c>
      <c r="C921" t="s">
        <v>1089</v>
      </c>
      <c r="D921" s="3">
        <v>42845.309027777781</v>
      </c>
      <c r="F921">
        <v>2017</v>
      </c>
      <c r="G921" t="s">
        <v>578</v>
      </c>
      <c r="H921" t="s">
        <v>352</v>
      </c>
      <c r="J921">
        <v>0</v>
      </c>
      <c r="L921">
        <v>1</v>
      </c>
      <c r="M921">
        <v>191</v>
      </c>
      <c r="N921">
        <v>64</v>
      </c>
      <c r="O921" t="s">
        <v>575</v>
      </c>
      <c r="Q921" t="s">
        <v>1115</v>
      </c>
      <c r="R921" t="s">
        <v>1091</v>
      </c>
      <c r="U921">
        <v>6</v>
      </c>
      <c r="V921">
        <v>6</v>
      </c>
      <c r="W921" t="s">
        <v>350</v>
      </c>
      <c r="X921" t="s">
        <v>349</v>
      </c>
      <c r="Y921" t="s">
        <v>580</v>
      </c>
      <c r="Z921">
        <v>2017</v>
      </c>
      <c r="AB921">
        <v>13</v>
      </c>
      <c r="AC921">
        <v>5.61</v>
      </c>
      <c r="AE921" t="s">
        <v>346</v>
      </c>
      <c r="AF921">
        <v>46.142674</v>
      </c>
      <c r="AG921">
        <v>-115.598088</v>
      </c>
      <c r="AH921">
        <v>15214123</v>
      </c>
    </row>
    <row r="922" spans="2:34">
      <c r="B922" t="s">
        <v>345</v>
      </c>
      <c r="C922" t="s">
        <v>1089</v>
      </c>
      <c r="D922" s="3">
        <v>42845.309027777781</v>
      </c>
      <c r="F922">
        <v>2017</v>
      </c>
      <c r="G922" t="s">
        <v>578</v>
      </c>
      <c r="H922" t="s">
        <v>352</v>
      </c>
      <c r="J922">
        <v>0</v>
      </c>
      <c r="L922">
        <v>1</v>
      </c>
      <c r="M922">
        <v>139</v>
      </c>
      <c r="N922">
        <v>28</v>
      </c>
      <c r="O922" t="s">
        <v>575</v>
      </c>
      <c r="Q922" t="s">
        <v>1116</v>
      </c>
      <c r="R922" t="s">
        <v>1091</v>
      </c>
      <c r="U922">
        <v>6</v>
      </c>
      <c r="V922">
        <v>6</v>
      </c>
      <c r="W922" t="s">
        <v>350</v>
      </c>
      <c r="X922" t="s">
        <v>349</v>
      </c>
      <c r="Y922" t="s">
        <v>580</v>
      </c>
      <c r="Z922">
        <v>2017</v>
      </c>
      <c r="AB922">
        <v>13</v>
      </c>
      <c r="AC922">
        <v>5.61</v>
      </c>
      <c r="AE922" t="s">
        <v>346</v>
      </c>
      <c r="AF922">
        <v>46.142674</v>
      </c>
      <c r="AG922">
        <v>-115.598088</v>
      </c>
      <c r="AH922">
        <v>15214124</v>
      </c>
    </row>
    <row r="923" spans="2:34">
      <c r="B923" t="s">
        <v>345</v>
      </c>
      <c r="C923" t="s">
        <v>1089</v>
      </c>
      <c r="D923" s="3">
        <v>42845.309027777781</v>
      </c>
      <c r="F923">
        <v>2017</v>
      </c>
      <c r="G923" t="s">
        <v>578</v>
      </c>
      <c r="H923" t="s">
        <v>352</v>
      </c>
      <c r="J923">
        <v>0</v>
      </c>
      <c r="L923">
        <v>1</v>
      </c>
      <c r="M923">
        <v>197</v>
      </c>
      <c r="N923">
        <v>70</v>
      </c>
      <c r="O923" t="s">
        <v>575</v>
      </c>
      <c r="Q923" t="s">
        <v>1117</v>
      </c>
      <c r="R923" t="s">
        <v>1091</v>
      </c>
      <c r="U923">
        <v>6</v>
      </c>
      <c r="V923">
        <v>6</v>
      </c>
      <c r="W923" t="s">
        <v>350</v>
      </c>
      <c r="X923" t="s">
        <v>349</v>
      </c>
      <c r="Y923" t="s">
        <v>580</v>
      </c>
      <c r="Z923">
        <v>2017</v>
      </c>
      <c r="AB923">
        <v>13</v>
      </c>
      <c r="AC923">
        <v>5.61</v>
      </c>
      <c r="AE923" t="s">
        <v>346</v>
      </c>
      <c r="AF923">
        <v>46.142674</v>
      </c>
      <c r="AG923">
        <v>-115.598088</v>
      </c>
      <c r="AH923">
        <v>15214125</v>
      </c>
    </row>
    <row r="924" spans="2:34">
      <c r="B924" t="s">
        <v>345</v>
      </c>
      <c r="C924" t="s">
        <v>1089</v>
      </c>
      <c r="D924" s="3">
        <v>42845.309027777781</v>
      </c>
      <c r="F924">
        <v>2017</v>
      </c>
      <c r="G924" t="s">
        <v>578</v>
      </c>
      <c r="H924" t="s">
        <v>352</v>
      </c>
      <c r="J924">
        <v>0</v>
      </c>
      <c r="L924">
        <v>1</v>
      </c>
      <c r="M924">
        <v>171</v>
      </c>
      <c r="N924">
        <v>44</v>
      </c>
      <c r="O924" t="s">
        <v>575</v>
      </c>
      <c r="Q924" t="s">
        <v>1118</v>
      </c>
      <c r="R924" t="s">
        <v>1091</v>
      </c>
      <c r="U924">
        <v>6</v>
      </c>
      <c r="V924">
        <v>6</v>
      </c>
      <c r="W924" t="s">
        <v>350</v>
      </c>
      <c r="X924" t="s">
        <v>349</v>
      </c>
      <c r="Y924" t="s">
        <v>580</v>
      </c>
      <c r="Z924">
        <v>2017</v>
      </c>
      <c r="AB924">
        <v>13</v>
      </c>
      <c r="AC924">
        <v>5.61</v>
      </c>
      <c r="AE924" t="s">
        <v>346</v>
      </c>
      <c r="AF924">
        <v>46.142674</v>
      </c>
      <c r="AG924">
        <v>-115.598088</v>
      </c>
      <c r="AH924">
        <v>15214126</v>
      </c>
    </row>
    <row r="925" spans="2:34">
      <c r="B925" t="s">
        <v>345</v>
      </c>
      <c r="C925" t="s">
        <v>1089</v>
      </c>
      <c r="D925" s="3">
        <v>42845.309027777781</v>
      </c>
      <c r="F925">
        <v>2017</v>
      </c>
      <c r="G925" t="s">
        <v>574</v>
      </c>
      <c r="H925" t="s">
        <v>352</v>
      </c>
      <c r="J925">
        <v>0</v>
      </c>
      <c r="L925">
        <v>1</v>
      </c>
      <c r="M925">
        <v>97</v>
      </c>
      <c r="N925">
        <v>12</v>
      </c>
      <c r="O925" t="s">
        <v>575</v>
      </c>
      <c r="Q925" t="s">
        <v>576</v>
      </c>
      <c r="R925" t="s">
        <v>1091</v>
      </c>
      <c r="U925">
        <v>6</v>
      </c>
      <c r="V925">
        <v>6</v>
      </c>
      <c r="W925" t="s">
        <v>350</v>
      </c>
      <c r="X925" t="s">
        <v>349</v>
      </c>
      <c r="Y925" t="s">
        <v>580</v>
      </c>
      <c r="Z925">
        <v>2017</v>
      </c>
      <c r="AB925">
        <v>13</v>
      </c>
      <c r="AC925">
        <v>5.61</v>
      </c>
      <c r="AE925" t="s">
        <v>346</v>
      </c>
      <c r="AF925">
        <v>46.142674</v>
      </c>
      <c r="AG925">
        <v>-115.598088</v>
      </c>
      <c r="AH925">
        <v>15214127</v>
      </c>
    </row>
    <row r="926" spans="2:34">
      <c r="B926" t="s">
        <v>345</v>
      </c>
      <c r="C926" t="s">
        <v>1119</v>
      </c>
      <c r="D926" s="3">
        <v>43041.38958333333</v>
      </c>
      <c r="F926">
        <v>2017</v>
      </c>
      <c r="G926" t="s">
        <v>574</v>
      </c>
      <c r="H926" t="s">
        <v>352</v>
      </c>
      <c r="J926">
        <v>0</v>
      </c>
      <c r="L926">
        <v>1</v>
      </c>
      <c r="M926">
        <v>89</v>
      </c>
      <c r="N926">
        <v>8</v>
      </c>
      <c r="O926" t="s">
        <v>702</v>
      </c>
      <c r="P926" t="s">
        <v>635</v>
      </c>
      <c r="Q926" t="s">
        <v>703</v>
      </c>
      <c r="R926" t="s">
        <v>603</v>
      </c>
      <c r="U926">
        <v>4</v>
      </c>
      <c r="V926">
        <v>4</v>
      </c>
      <c r="W926" t="s">
        <v>350</v>
      </c>
      <c r="X926" t="s">
        <v>349</v>
      </c>
      <c r="Y926" t="s">
        <v>348</v>
      </c>
      <c r="Z926">
        <v>2017</v>
      </c>
      <c r="AB926">
        <v>5</v>
      </c>
      <c r="AC926">
        <v>2.27</v>
      </c>
      <c r="AE926" t="s">
        <v>346</v>
      </c>
      <c r="AF926">
        <v>46.142674</v>
      </c>
      <c r="AG926">
        <v>-115.598088</v>
      </c>
      <c r="AH926">
        <v>15218873</v>
      </c>
    </row>
    <row r="927" spans="2:34">
      <c r="B927" t="s">
        <v>345</v>
      </c>
      <c r="C927" t="s">
        <v>1119</v>
      </c>
      <c r="D927" s="3">
        <v>43041.38958333333</v>
      </c>
      <c r="F927">
        <v>2017</v>
      </c>
      <c r="G927" t="s">
        <v>611</v>
      </c>
      <c r="H927" t="s">
        <v>352</v>
      </c>
      <c r="J927">
        <v>0</v>
      </c>
      <c r="L927">
        <v>1</v>
      </c>
      <c r="M927">
        <v>75</v>
      </c>
      <c r="N927">
        <v>4</v>
      </c>
      <c r="O927" t="s">
        <v>353</v>
      </c>
      <c r="R927" t="s">
        <v>603</v>
      </c>
      <c r="U927">
        <v>4</v>
      </c>
      <c r="V927">
        <v>4</v>
      </c>
      <c r="W927" t="s">
        <v>350</v>
      </c>
      <c r="X927" t="s">
        <v>349</v>
      </c>
      <c r="Y927" t="s">
        <v>348</v>
      </c>
      <c r="Z927">
        <v>2017</v>
      </c>
      <c r="AB927">
        <v>5</v>
      </c>
      <c r="AC927">
        <v>2.27</v>
      </c>
      <c r="AE927" t="s">
        <v>346</v>
      </c>
      <c r="AF927">
        <v>46.142674</v>
      </c>
      <c r="AG927">
        <v>-115.598088</v>
      </c>
      <c r="AH927">
        <v>15218874</v>
      </c>
    </row>
    <row r="928" spans="2:34">
      <c r="B928" t="s">
        <v>345</v>
      </c>
      <c r="C928" t="s">
        <v>1120</v>
      </c>
      <c r="D928" s="3">
        <v>42890.406944444447</v>
      </c>
      <c r="F928">
        <v>2017</v>
      </c>
      <c r="G928" t="s">
        <v>578</v>
      </c>
      <c r="H928" t="s">
        <v>352</v>
      </c>
      <c r="J928">
        <v>0</v>
      </c>
      <c r="L928">
        <v>1</v>
      </c>
      <c r="M928">
        <v>106</v>
      </c>
      <c r="N928">
        <v>14</v>
      </c>
      <c r="O928" t="s">
        <v>575</v>
      </c>
      <c r="Q928" t="s">
        <v>1121</v>
      </c>
      <c r="R928" t="s">
        <v>1122</v>
      </c>
      <c r="U928">
        <v>11</v>
      </c>
      <c r="V928">
        <v>9</v>
      </c>
      <c r="W928" t="s">
        <v>350</v>
      </c>
      <c r="X928" t="s">
        <v>349</v>
      </c>
      <c r="Y928" t="s">
        <v>580</v>
      </c>
      <c r="Z928">
        <v>2017</v>
      </c>
      <c r="AB928">
        <v>14</v>
      </c>
      <c r="AC928">
        <v>8.0399999999999991</v>
      </c>
      <c r="AE928" t="s">
        <v>346</v>
      </c>
      <c r="AF928">
        <v>46.142674</v>
      </c>
      <c r="AG928">
        <v>-115.598088</v>
      </c>
      <c r="AH928">
        <v>15264418</v>
      </c>
    </row>
    <row r="929" spans="2:34">
      <c r="B929" t="s">
        <v>345</v>
      </c>
      <c r="C929" t="s">
        <v>1123</v>
      </c>
      <c r="D929" s="3">
        <v>43018.672222222223</v>
      </c>
      <c r="F929">
        <v>2017</v>
      </c>
      <c r="G929" t="s">
        <v>605</v>
      </c>
      <c r="H929" t="s">
        <v>352</v>
      </c>
      <c r="J929">
        <v>0</v>
      </c>
      <c r="L929">
        <v>16</v>
      </c>
      <c r="M929">
        <v>0</v>
      </c>
      <c r="N929">
        <v>0</v>
      </c>
      <c r="O929" t="s">
        <v>606</v>
      </c>
      <c r="R929" t="s">
        <v>603</v>
      </c>
      <c r="U929">
        <v>7</v>
      </c>
      <c r="V929">
        <v>7</v>
      </c>
      <c r="W929" t="s">
        <v>350</v>
      </c>
      <c r="X929" t="s">
        <v>349</v>
      </c>
      <c r="Y929" t="s">
        <v>348</v>
      </c>
      <c r="Z929">
        <v>2017</v>
      </c>
      <c r="AB929">
        <v>6</v>
      </c>
      <c r="AC929">
        <v>2.0499999999999998</v>
      </c>
      <c r="AE929" t="s">
        <v>346</v>
      </c>
      <c r="AF929">
        <v>46.142674</v>
      </c>
      <c r="AG929">
        <v>-115.598088</v>
      </c>
      <c r="AH929">
        <v>15267089</v>
      </c>
    </row>
    <row r="930" spans="2:34">
      <c r="B930" t="s">
        <v>345</v>
      </c>
      <c r="C930" t="s">
        <v>1124</v>
      </c>
      <c r="D930" s="3">
        <v>42901.377083333333</v>
      </c>
      <c r="F930">
        <v>2017</v>
      </c>
      <c r="G930" t="s">
        <v>574</v>
      </c>
      <c r="H930" t="s">
        <v>352</v>
      </c>
      <c r="J930">
        <v>0</v>
      </c>
      <c r="L930">
        <v>1</v>
      </c>
      <c r="M930">
        <v>42</v>
      </c>
      <c r="N930">
        <v>1</v>
      </c>
      <c r="O930" t="s">
        <v>609</v>
      </c>
      <c r="R930" t="s">
        <v>1125</v>
      </c>
      <c r="U930">
        <v>10</v>
      </c>
      <c r="V930">
        <v>10</v>
      </c>
      <c r="W930" t="s">
        <v>350</v>
      </c>
      <c r="X930" t="s">
        <v>349</v>
      </c>
      <c r="Y930" t="s">
        <v>580</v>
      </c>
      <c r="Z930">
        <v>2017</v>
      </c>
      <c r="AB930">
        <v>13</v>
      </c>
      <c r="AC930">
        <v>5.7</v>
      </c>
      <c r="AE930" t="s">
        <v>346</v>
      </c>
      <c r="AF930">
        <v>46.142674</v>
      </c>
      <c r="AG930">
        <v>-115.598088</v>
      </c>
      <c r="AH930">
        <v>15268534</v>
      </c>
    </row>
    <row r="931" spans="2:34">
      <c r="B931" t="s">
        <v>345</v>
      </c>
      <c r="C931" t="s">
        <v>1124</v>
      </c>
      <c r="D931" s="3">
        <v>42901.377083333333</v>
      </c>
      <c r="F931">
        <v>2017</v>
      </c>
      <c r="G931" t="s">
        <v>615</v>
      </c>
      <c r="H931" t="s">
        <v>352</v>
      </c>
      <c r="J931">
        <v>0</v>
      </c>
      <c r="L931">
        <v>1</v>
      </c>
      <c r="M931">
        <v>120</v>
      </c>
      <c r="N931">
        <v>16</v>
      </c>
      <c r="O931" t="s">
        <v>353</v>
      </c>
      <c r="R931" t="s">
        <v>1125</v>
      </c>
      <c r="U931">
        <v>10</v>
      </c>
      <c r="V931">
        <v>10</v>
      </c>
      <c r="W931" t="s">
        <v>350</v>
      </c>
      <c r="X931" t="s">
        <v>349</v>
      </c>
      <c r="Y931" t="s">
        <v>580</v>
      </c>
      <c r="Z931">
        <v>2017</v>
      </c>
      <c r="AB931">
        <v>13</v>
      </c>
      <c r="AC931">
        <v>5.7</v>
      </c>
      <c r="AE931" t="s">
        <v>346</v>
      </c>
      <c r="AF931">
        <v>46.142674</v>
      </c>
      <c r="AG931">
        <v>-115.598088</v>
      </c>
      <c r="AH931">
        <v>15268535</v>
      </c>
    </row>
    <row r="932" spans="2:34">
      <c r="B932" t="s">
        <v>345</v>
      </c>
      <c r="C932" t="s">
        <v>1124</v>
      </c>
      <c r="D932" s="3">
        <v>42901.377083333333</v>
      </c>
      <c r="F932">
        <v>2017</v>
      </c>
      <c r="G932" t="s">
        <v>482</v>
      </c>
      <c r="H932" t="s">
        <v>352</v>
      </c>
      <c r="J932">
        <v>0</v>
      </c>
      <c r="L932">
        <v>1</v>
      </c>
      <c r="M932">
        <v>94</v>
      </c>
      <c r="N932">
        <v>8</v>
      </c>
      <c r="O932" t="s">
        <v>353</v>
      </c>
      <c r="R932" t="s">
        <v>1125</v>
      </c>
      <c r="U932">
        <v>10</v>
      </c>
      <c r="V932">
        <v>10</v>
      </c>
      <c r="W932" t="s">
        <v>350</v>
      </c>
      <c r="X932" t="s">
        <v>349</v>
      </c>
      <c r="Y932" t="s">
        <v>580</v>
      </c>
      <c r="Z932">
        <v>2017</v>
      </c>
      <c r="AB932">
        <v>13</v>
      </c>
      <c r="AC932">
        <v>5.7</v>
      </c>
      <c r="AE932" t="s">
        <v>346</v>
      </c>
      <c r="AF932">
        <v>46.142674</v>
      </c>
      <c r="AG932">
        <v>-115.598088</v>
      </c>
      <c r="AH932">
        <v>15268536</v>
      </c>
    </row>
    <row r="933" spans="2:34">
      <c r="B933" t="s">
        <v>345</v>
      </c>
      <c r="C933" t="s">
        <v>1124</v>
      </c>
      <c r="D933" s="3">
        <v>42901.377083333333</v>
      </c>
      <c r="F933">
        <v>2017</v>
      </c>
      <c r="G933" t="s">
        <v>605</v>
      </c>
      <c r="H933" t="s">
        <v>352</v>
      </c>
      <c r="J933">
        <v>0</v>
      </c>
      <c r="L933">
        <v>1</v>
      </c>
      <c r="M933">
        <v>35</v>
      </c>
      <c r="N933">
        <v>0</v>
      </c>
      <c r="O933" t="s">
        <v>353</v>
      </c>
      <c r="R933" t="s">
        <v>1125</v>
      </c>
      <c r="U933">
        <v>10</v>
      </c>
      <c r="V933">
        <v>10</v>
      </c>
      <c r="W933" t="s">
        <v>350</v>
      </c>
      <c r="X933" t="s">
        <v>349</v>
      </c>
      <c r="Y933" t="s">
        <v>580</v>
      </c>
      <c r="Z933">
        <v>2017</v>
      </c>
      <c r="AB933">
        <v>13</v>
      </c>
      <c r="AC933">
        <v>5.7</v>
      </c>
      <c r="AE933" t="s">
        <v>346</v>
      </c>
      <c r="AF933">
        <v>46.142674</v>
      </c>
      <c r="AG933">
        <v>-115.598088</v>
      </c>
      <c r="AH933">
        <v>15268537</v>
      </c>
    </row>
    <row r="934" spans="2:34">
      <c r="B934" t="s">
        <v>345</v>
      </c>
      <c r="C934" t="s">
        <v>1124</v>
      </c>
      <c r="D934" s="3">
        <v>42901.377083333333</v>
      </c>
      <c r="F934">
        <v>2017</v>
      </c>
      <c r="G934" t="s">
        <v>574</v>
      </c>
      <c r="H934" t="s">
        <v>352</v>
      </c>
      <c r="J934">
        <v>0</v>
      </c>
      <c r="L934">
        <v>1</v>
      </c>
      <c r="M934">
        <v>52</v>
      </c>
      <c r="N934">
        <v>2</v>
      </c>
      <c r="O934" t="s">
        <v>609</v>
      </c>
      <c r="R934" t="s">
        <v>1125</v>
      </c>
      <c r="U934">
        <v>10</v>
      </c>
      <c r="V934">
        <v>10</v>
      </c>
      <c r="W934" t="s">
        <v>350</v>
      </c>
      <c r="X934" t="s">
        <v>349</v>
      </c>
      <c r="Y934" t="s">
        <v>580</v>
      </c>
      <c r="Z934">
        <v>2017</v>
      </c>
      <c r="AB934">
        <v>13</v>
      </c>
      <c r="AC934">
        <v>5.7</v>
      </c>
      <c r="AE934" t="s">
        <v>346</v>
      </c>
      <c r="AF934">
        <v>46.142674</v>
      </c>
      <c r="AG934">
        <v>-115.598088</v>
      </c>
      <c r="AH934">
        <v>15268538</v>
      </c>
    </row>
    <row r="935" spans="2:34">
      <c r="B935" t="s">
        <v>345</v>
      </c>
      <c r="C935" t="s">
        <v>1126</v>
      </c>
      <c r="D935" s="3">
        <v>42906.338194444441</v>
      </c>
      <c r="F935">
        <v>2017</v>
      </c>
      <c r="G935" t="s">
        <v>605</v>
      </c>
      <c r="H935" t="s">
        <v>352</v>
      </c>
      <c r="J935">
        <v>0</v>
      </c>
      <c r="L935">
        <v>1</v>
      </c>
      <c r="M935">
        <v>72</v>
      </c>
      <c r="N935">
        <v>4</v>
      </c>
      <c r="O935" t="s">
        <v>353</v>
      </c>
      <c r="R935" t="s">
        <v>1127</v>
      </c>
      <c r="U935">
        <v>14</v>
      </c>
      <c r="V935">
        <v>14</v>
      </c>
      <c r="W935" t="s">
        <v>350</v>
      </c>
      <c r="X935" t="s">
        <v>349</v>
      </c>
      <c r="Y935" t="s">
        <v>580</v>
      </c>
      <c r="Z935">
        <v>2017</v>
      </c>
      <c r="AB935">
        <v>13</v>
      </c>
      <c r="AC935">
        <v>5.63</v>
      </c>
      <c r="AE935" t="s">
        <v>346</v>
      </c>
      <c r="AF935">
        <v>46.142674</v>
      </c>
      <c r="AG935">
        <v>-115.598088</v>
      </c>
      <c r="AH935">
        <v>15083808</v>
      </c>
    </row>
    <row r="936" spans="2:34">
      <c r="B936" t="s">
        <v>345</v>
      </c>
      <c r="C936" t="s">
        <v>1126</v>
      </c>
      <c r="D936" s="3">
        <v>42906.338194444441</v>
      </c>
      <c r="F936">
        <v>2017</v>
      </c>
      <c r="G936" t="s">
        <v>605</v>
      </c>
      <c r="H936" t="s">
        <v>352</v>
      </c>
      <c r="J936">
        <v>0</v>
      </c>
      <c r="L936">
        <v>1</v>
      </c>
      <c r="M936">
        <v>70</v>
      </c>
      <c r="N936">
        <v>3</v>
      </c>
      <c r="O936" t="s">
        <v>353</v>
      </c>
      <c r="R936" t="s">
        <v>1127</v>
      </c>
      <c r="U936">
        <v>14</v>
      </c>
      <c r="V936">
        <v>14</v>
      </c>
      <c r="W936" t="s">
        <v>350</v>
      </c>
      <c r="X936" t="s">
        <v>349</v>
      </c>
      <c r="Y936" t="s">
        <v>580</v>
      </c>
      <c r="Z936">
        <v>2017</v>
      </c>
      <c r="AB936">
        <v>13</v>
      </c>
      <c r="AC936">
        <v>5.63</v>
      </c>
      <c r="AE936" t="s">
        <v>346</v>
      </c>
      <c r="AF936">
        <v>46.142674</v>
      </c>
      <c r="AG936">
        <v>-115.598088</v>
      </c>
      <c r="AH936">
        <v>15083809</v>
      </c>
    </row>
    <row r="937" spans="2:34">
      <c r="B937" t="s">
        <v>345</v>
      </c>
      <c r="C937" t="s">
        <v>1126</v>
      </c>
      <c r="D937" s="3">
        <v>42906.338194444441</v>
      </c>
      <c r="F937">
        <v>2017</v>
      </c>
      <c r="G937" t="s">
        <v>615</v>
      </c>
      <c r="H937" t="s">
        <v>352</v>
      </c>
      <c r="J937">
        <v>0</v>
      </c>
      <c r="L937">
        <v>1</v>
      </c>
      <c r="M937">
        <v>130</v>
      </c>
      <c r="N937">
        <v>22</v>
      </c>
      <c r="O937" t="s">
        <v>353</v>
      </c>
      <c r="R937" t="s">
        <v>1127</v>
      </c>
      <c r="U937">
        <v>14</v>
      </c>
      <c r="V937">
        <v>14</v>
      </c>
      <c r="W937" t="s">
        <v>350</v>
      </c>
      <c r="X937" t="s">
        <v>349</v>
      </c>
      <c r="Y937" t="s">
        <v>580</v>
      </c>
      <c r="Z937">
        <v>2017</v>
      </c>
      <c r="AB937">
        <v>13</v>
      </c>
      <c r="AC937">
        <v>5.63</v>
      </c>
      <c r="AE937" t="s">
        <v>346</v>
      </c>
      <c r="AF937">
        <v>46.142674</v>
      </c>
      <c r="AG937">
        <v>-115.598088</v>
      </c>
      <c r="AH937">
        <v>15083810</v>
      </c>
    </row>
    <row r="938" spans="2:34">
      <c r="B938" t="s">
        <v>345</v>
      </c>
      <c r="C938" t="s">
        <v>1126</v>
      </c>
      <c r="D938" s="3">
        <v>42906.338194444441</v>
      </c>
      <c r="F938">
        <v>2017</v>
      </c>
      <c r="G938" t="s">
        <v>611</v>
      </c>
      <c r="H938" t="s">
        <v>352</v>
      </c>
      <c r="J938">
        <v>0</v>
      </c>
      <c r="L938">
        <v>1</v>
      </c>
      <c r="M938">
        <v>100</v>
      </c>
      <c r="N938">
        <v>16</v>
      </c>
      <c r="O938" t="s">
        <v>353</v>
      </c>
      <c r="R938" t="s">
        <v>1127</v>
      </c>
      <c r="U938">
        <v>14</v>
      </c>
      <c r="V938">
        <v>14</v>
      </c>
      <c r="W938" t="s">
        <v>350</v>
      </c>
      <c r="X938" t="s">
        <v>349</v>
      </c>
      <c r="Y938" t="s">
        <v>580</v>
      </c>
      <c r="Z938">
        <v>2017</v>
      </c>
      <c r="AB938">
        <v>13</v>
      </c>
      <c r="AC938">
        <v>5.63</v>
      </c>
      <c r="AE938" t="s">
        <v>346</v>
      </c>
      <c r="AF938">
        <v>46.142674</v>
      </c>
      <c r="AG938">
        <v>-115.598088</v>
      </c>
      <c r="AH938">
        <v>15083811</v>
      </c>
    </row>
    <row r="939" spans="2:34">
      <c r="B939" t="s">
        <v>345</v>
      </c>
      <c r="C939" t="s">
        <v>1128</v>
      </c>
      <c r="D939" s="3">
        <v>43040.430555555555</v>
      </c>
      <c r="F939">
        <v>2017</v>
      </c>
      <c r="G939" t="s">
        <v>574</v>
      </c>
      <c r="H939" t="s">
        <v>352</v>
      </c>
      <c r="J939">
        <v>0</v>
      </c>
      <c r="L939">
        <v>1</v>
      </c>
      <c r="M939">
        <v>88</v>
      </c>
      <c r="N939">
        <v>10</v>
      </c>
      <c r="O939" t="s">
        <v>575</v>
      </c>
      <c r="Q939" t="s">
        <v>576</v>
      </c>
      <c r="R939" t="s">
        <v>1129</v>
      </c>
      <c r="U939">
        <v>3</v>
      </c>
      <c r="V939">
        <v>3</v>
      </c>
      <c r="W939" t="s">
        <v>350</v>
      </c>
      <c r="X939" t="s">
        <v>349</v>
      </c>
      <c r="Y939" t="s">
        <v>642</v>
      </c>
      <c r="Z939">
        <v>2017</v>
      </c>
      <c r="AB939">
        <v>4</v>
      </c>
      <c r="AC939">
        <v>2.1800000000000002</v>
      </c>
      <c r="AE939" t="s">
        <v>346</v>
      </c>
      <c r="AF939">
        <v>46.142674</v>
      </c>
      <c r="AG939">
        <v>-115.598088</v>
      </c>
      <c r="AH939">
        <v>15124647</v>
      </c>
    </row>
    <row r="940" spans="2:34">
      <c r="B940" t="s">
        <v>345</v>
      </c>
      <c r="C940" t="s">
        <v>1130</v>
      </c>
      <c r="D940" s="3">
        <v>43009.45416666667</v>
      </c>
      <c r="F940">
        <v>2017</v>
      </c>
      <c r="G940" t="s">
        <v>605</v>
      </c>
      <c r="H940" t="s">
        <v>352</v>
      </c>
      <c r="J940">
        <v>0</v>
      </c>
      <c r="L940">
        <v>14</v>
      </c>
      <c r="M940">
        <v>0</v>
      </c>
      <c r="N940">
        <v>0</v>
      </c>
      <c r="O940" t="s">
        <v>606</v>
      </c>
      <c r="R940" t="s">
        <v>1131</v>
      </c>
      <c r="U940">
        <v>11</v>
      </c>
      <c r="V940">
        <v>11</v>
      </c>
      <c r="W940" t="s">
        <v>350</v>
      </c>
      <c r="X940" t="s">
        <v>349</v>
      </c>
      <c r="Y940" t="s">
        <v>642</v>
      </c>
      <c r="Z940">
        <v>2017</v>
      </c>
      <c r="AB940">
        <v>9</v>
      </c>
      <c r="AC940">
        <v>2.0499999999999998</v>
      </c>
      <c r="AE940" t="s">
        <v>346</v>
      </c>
      <c r="AF940">
        <v>46.142674</v>
      </c>
      <c r="AG940">
        <v>-115.598088</v>
      </c>
      <c r="AH940">
        <v>15289961</v>
      </c>
    </row>
    <row r="941" spans="2:34">
      <c r="B941" t="s">
        <v>345</v>
      </c>
      <c r="C941" t="s">
        <v>1130</v>
      </c>
      <c r="D941" s="3">
        <v>43009.45416666667</v>
      </c>
      <c r="F941">
        <v>2017</v>
      </c>
      <c r="G941" t="s">
        <v>482</v>
      </c>
      <c r="H941" t="s">
        <v>352</v>
      </c>
      <c r="J941">
        <v>0</v>
      </c>
      <c r="L941">
        <v>1</v>
      </c>
      <c r="M941">
        <v>207</v>
      </c>
      <c r="N941">
        <v>100</v>
      </c>
      <c r="O941" t="s">
        <v>353</v>
      </c>
      <c r="R941" t="s">
        <v>1131</v>
      </c>
      <c r="U941">
        <v>11</v>
      </c>
      <c r="V941">
        <v>11</v>
      </c>
      <c r="W941" t="s">
        <v>350</v>
      </c>
      <c r="X941" t="s">
        <v>349</v>
      </c>
      <c r="Y941" t="s">
        <v>642</v>
      </c>
      <c r="Z941">
        <v>2017</v>
      </c>
      <c r="AB941">
        <v>9</v>
      </c>
      <c r="AC941">
        <v>2.0499999999999998</v>
      </c>
      <c r="AE941" t="s">
        <v>346</v>
      </c>
      <c r="AF941">
        <v>46.142674</v>
      </c>
      <c r="AG941">
        <v>-115.598088</v>
      </c>
      <c r="AH941">
        <v>15289962</v>
      </c>
    </row>
    <row r="942" spans="2:34">
      <c r="B942" t="s">
        <v>345</v>
      </c>
      <c r="C942" t="s">
        <v>1130</v>
      </c>
      <c r="D942" s="3">
        <v>43009.45416666667</v>
      </c>
      <c r="F942">
        <v>2017</v>
      </c>
      <c r="G942" t="s">
        <v>604</v>
      </c>
      <c r="H942" t="s">
        <v>352</v>
      </c>
      <c r="J942">
        <v>0</v>
      </c>
      <c r="L942">
        <v>1</v>
      </c>
      <c r="M942">
        <v>0</v>
      </c>
      <c r="N942">
        <v>0</v>
      </c>
      <c r="O942" t="s">
        <v>643</v>
      </c>
      <c r="R942" t="s">
        <v>1131</v>
      </c>
      <c r="U942">
        <v>11</v>
      </c>
      <c r="V942">
        <v>11</v>
      </c>
      <c r="W942" t="s">
        <v>350</v>
      </c>
      <c r="X942" t="s">
        <v>349</v>
      </c>
      <c r="Y942" t="s">
        <v>642</v>
      </c>
      <c r="Z942">
        <v>2017</v>
      </c>
      <c r="AB942">
        <v>9</v>
      </c>
      <c r="AC942">
        <v>2.0499999999999998</v>
      </c>
      <c r="AE942" t="s">
        <v>346</v>
      </c>
      <c r="AF942">
        <v>46.142674</v>
      </c>
      <c r="AG942">
        <v>-115.598088</v>
      </c>
      <c r="AH942">
        <v>15289963</v>
      </c>
    </row>
    <row r="943" spans="2:34">
      <c r="B943" t="s">
        <v>345</v>
      </c>
      <c r="C943" t="s">
        <v>1130</v>
      </c>
      <c r="D943" s="3">
        <v>43009.45416666667</v>
      </c>
      <c r="F943">
        <v>2017</v>
      </c>
      <c r="G943" t="s">
        <v>602</v>
      </c>
      <c r="H943" t="s">
        <v>352</v>
      </c>
      <c r="J943">
        <v>0</v>
      </c>
      <c r="L943">
        <v>1</v>
      </c>
      <c r="M943">
        <v>238</v>
      </c>
      <c r="N943">
        <v>151</v>
      </c>
      <c r="O943" t="s">
        <v>353</v>
      </c>
      <c r="R943" t="s">
        <v>1131</v>
      </c>
      <c r="U943">
        <v>11</v>
      </c>
      <c r="V943">
        <v>11</v>
      </c>
      <c r="W943" t="s">
        <v>350</v>
      </c>
      <c r="X943" t="s">
        <v>349</v>
      </c>
      <c r="Y943" t="s">
        <v>642</v>
      </c>
      <c r="Z943">
        <v>2017</v>
      </c>
      <c r="AB943">
        <v>9</v>
      </c>
      <c r="AC943">
        <v>2.0499999999999998</v>
      </c>
      <c r="AE943" t="s">
        <v>346</v>
      </c>
      <c r="AF943">
        <v>46.142674</v>
      </c>
      <c r="AG943">
        <v>-115.598088</v>
      </c>
      <c r="AH943">
        <v>15289964</v>
      </c>
    </row>
    <row r="944" spans="2:34">
      <c r="B944" t="s">
        <v>345</v>
      </c>
      <c r="C944" t="s">
        <v>1130</v>
      </c>
      <c r="D944" s="3">
        <v>43009.45416666667</v>
      </c>
      <c r="F944">
        <v>2017</v>
      </c>
      <c r="G944" t="s">
        <v>482</v>
      </c>
      <c r="H944" t="s">
        <v>352</v>
      </c>
      <c r="J944">
        <v>0</v>
      </c>
      <c r="L944">
        <v>1</v>
      </c>
      <c r="M944">
        <v>213</v>
      </c>
      <c r="N944">
        <v>117</v>
      </c>
      <c r="O944" t="s">
        <v>353</v>
      </c>
      <c r="R944" t="s">
        <v>1131</v>
      </c>
      <c r="U944">
        <v>11</v>
      </c>
      <c r="V944">
        <v>11</v>
      </c>
      <c r="W944" t="s">
        <v>350</v>
      </c>
      <c r="X944" t="s">
        <v>349</v>
      </c>
      <c r="Y944" t="s">
        <v>642</v>
      </c>
      <c r="Z944">
        <v>2017</v>
      </c>
      <c r="AB944">
        <v>9</v>
      </c>
      <c r="AC944">
        <v>2.0499999999999998</v>
      </c>
      <c r="AE944" t="s">
        <v>346</v>
      </c>
      <c r="AF944">
        <v>46.142674</v>
      </c>
      <c r="AG944">
        <v>-115.598088</v>
      </c>
      <c r="AH944">
        <v>15289965</v>
      </c>
    </row>
    <row r="945" spans="2:34">
      <c r="B945" t="s">
        <v>345</v>
      </c>
      <c r="C945" t="s">
        <v>1130</v>
      </c>
      <c r="D945" s="3">
        <v>43009.45416666667</v>
      </c>
      <c r="F945">
        <v>2017</v>
      </c>
      <c r="G945" t="s">
        <v>602</v>
      </c>
      <c r="H945" t="s">
        <v>352</v>
      </c>
      <c r="J945">
        <v>0</v>
      </c>
      <c r="L945">
        <v>1</v>
      </c>
      <c r="M945">
        <v>242</v>
      </c>
      <c r="N945">
        <v>178</v>
      </c>
      <c r="O945" t="s">
        <v>353</v>
      </c>
      <c r="R945" t="s">
        <v>1131</v>
      </c>
      <c r="U945">
        <v>11</v>
      </c>
      <c r="V945">
        <v>11</v>
      </c>
      <c r="W945" t="s">
        <v>350</v>
      </c>
      <c r="X945" t="s">
        <v>349</v>
      </c>
      <c r="Y945" t="s">
        <v>642</v>
      </c>
      <c r="Z945">
        <v>2017</v>
      </c>
      <c r="AB945">
        <v>9</v>
      </c>
      <c r="AC945">
        <v>2.0499999999999998</v>
      </c>
      <c r="AE945" t="s">
        <v>346</v>
      </c>
      <c r="AF945">
        <v>46.142674</v>
      </c>
      <c r="AG945">
        <v>-115.598088</v>
      </c>
      <c r="AH945">
        <v>15289966</v>
      </c>
    </row>
    <row r="946" spans="2:34">
      <c r="B946" t="s">
        <v>345</v>
      </c>
      <c r="C946" t="s">
        <v>1132</v>
      </c>
      <c r="D946" s="3">
        <v>42932.324999999997</v>
      </c>
      <c r="F946">
        <v>2017</v>
      </c>
      <c r="G946" t="s">
        <v>480</v>
      </c>
      <c r="H946" t="s">
        <v>352</v>
      </c>
      <c r="J946">
        <v>0</v>
      </c>
      <c r="L946">
        <v>2</v>
      </c>
      <c r="O946" t="s">
        <v>643</v>
      </c>
      <c r="R946" t="s">
        <v>1133</v>
      </c>
      <c r="U946">
        <v>25</v>
      </c>
      <c r="V946">
        <v>25</v>
      </c>
      <c r="W946" t="s">
        <v>350</v>
      </c>
      <c r="X946" t="s">
        <v>349</v>
      </c>
      <c r="Y946" t="s">
        <v>697</v>
      </c>
      <c r="Z946">
        <v>2017</v>
      </c>
      <c r="AB946">
        <v>12</v>
      </c>
      <c r="AC946">
        <v>2.74</v>
      </c>
      <c r="AE946" t="s">
        <v>346</v>
      </c>
      <c r="AF946">
        <v>46.142674</v>
      </c>
      <c r="AG946">
        <v>-115.598088</v>
      </c>
      <c r="AH946">
        <v>15338579</v>
      </c>
    </row>
    <row r="947" spans="2:34">
      <c r="B947" t="s">
        <v>345</v>
      </c>
      <c r="C947" t="s">
        <v>1132</v>
      </c>
      <c r="D947" s="3">
        <v>42932.324999999997</v>
      </c>
      <c r="F947">
        <v>2017</v>
      </c>
      <c r="G947" t="s">
        <v>743</v>
      </c>
      <c r="H947" t="s">
        <v>352</v>
      </c>
      <c r="J947">
        <v>0</v>
      </c>
      <c r="L947">
        <v>1</v>
      </c>
      <c r="O947" t="s">
        <v>643</v>
      </c>
      <c r="R947" t="s">
        <v>1133</v>
      </c>
      <c r="U947">
        <v>25</v>
      </c>
      <c r="V947">
        <v>25</v>
      </c>
      <c r="W947" t="s">
        <v>350</v>
      </c>
      <c r="X947" t="s">
        <v>349</v>
      </c>
      <c r="Y947" t="s">
        <v>697</v>
      </c>
      <c r="Z947">
        <v>2017</v>
      </c>
      <c r="AB947">
        <v>12</v>
      </c>
      <c r="AC947">
        <v>2.74</v>
      </c>
      <c r="AE947" t="s">
        <v>346</v>
      </c>
      <c r="AF947">
        <v>46.142674</v>
      </c>
      <c r="AG947">
        <v>-115.598088</v>
      </c>
      <c r="AH947">
        <v>15338580</v>
      </c>
    </row>
    <row r="948" spans="2:34">
      <c r="B948" t="s">
        <v>345</v>
      </c>
      <c r="C948" t="s">
        <v>1132</v>
      </c>
      <c r="D948" s="3">
        <v>42932.324999999997</v>
      </c>
      <c r="F948">
        <v>2017</v>
      </c>
      <c r="G948" t="s">
        <v>602</v>
      </c>
      <c r="H948" t="s">
        <v>352</v>
      </c>
      <c r="J948">
        <v>0</v>
      </c>
      <c r="L948">
        <v>4</v>
      </c>
      <c r="O948" t="s">
        <v>643</v>
      </c>
      <c r="R948" t="s">
        <v>1133</v>
      </c>
      <c r="U948">
        <v>25</v>
      </c>
      <c r="V948">
        <v>25</v>
      </c>
      <c r="W948" t="s">
        <v>350</v>
      </c>
      <c r="X948" t="s">
        <v>349</v>
      </c>
      <c r="Y948" t="s">
        <v>697</v>
      </c>
      <c r="Z948">
        <v>2017</v>
      </c>
      <c r="AB948">
        <v>12</v>
      </c>
      <c r="AC948">
        <v>2.74</v>
      </c>
      <c r="AE948" t="s">
        <v>346</v>
      </c>
      <c r="AF948">
        <v>46.142674</v>
      </c>
      <c r="AG948">
        <v>-115.598088</v>
      </c>
      <c r="AH948">
        <v>15338581</v>
      </c>
    </row>
    <row r="949" spans="2:34">
      <c r="B949" t="s">
        <v>345</v>
      </c>
      <c r="C949" t="s">
        <v>1132</v>
      </c>
      <c r="D949" s="3">
        <v>42932.324999999997</v>
      </c>
      <c r="F949">
        <v>2017</v>
      </c>
      <c r="G949" t="s">
        <v>611</v>
      </c>
      <c r="H949" t="s">
        <v>352</v>
      </c>
      <c r="J949">
        <v>0</v>
      </c>
      <c r="L949">
        <v>8</v>
      </c>
      <c r="O949" t="s">
        <v>643</v>
      </c>
      <c r="R949" t="s">
        <v>1133</v>
      </c>
      <c r="U949">
        <v>25</v>
      </c>
      <c r="V949">
        <v>25</v>
      </c>
      <c r="W949" t="s">
        <v>350</v>
      </c>
      <c r="X949" t="s">
        <v>349</v>
      </c>
      <c r="Y949" t="s">
        <v>697</v>
      </c>
      <c r="Z949">
        <v>2017</v>
      </c>
      <c r="AB949">
        <v>12</v>
      </c>
      <c r="AC949">
        <v>2.74</v>
      </c>
      <c r="AE949" t="s">
        <v>346</v>
      </c>
      <c r="AF949">
        <v>46.142674</v>
      </c>
      <c r="AG949">
        <v>-115.598088</v>
      </c>
      <c r="AH949">
        <v>15338582</v>
      </c>
    </row>
    <row r="950" spans="2:34">
      <c r="B950" t="s">
        <v>345</v>
      </c>
      <c r="C950" t="s">
        <v>1132</v>
      </c>
      <c r="D950" s="3">
        <v>42932.324999999997</v>
      </c>
      <c r="F950">
        <v>2017</v>
      </c>
      <c r="G950" t="s">
        <v>605</v>
      </c>
      <c r="H950" t="s">
        <v>352</v>
      </c>
      <c r="J950">
        <v>0</v>
      </c>
      <c r="L950">
        <v>4</v>
      </c>
      <c r="O950" t="s">
        <v>643</v>
      </c>
      <c r="R950" t="s">
        <v>1133</v>
      </c>
      <c r="U950">
        <v>25</v>
      </c>
      <c r="V950">
        <v>25</v>
      </c>
      <c r="W950" t="s">
        <v>350</v>
      </c>
      <c r="X950" t="s">
        <v>349</v>
      </c>
      <c r="Y950" t="s">
        <v>697</v>
      </c>
      <c r="Z950">
        <v>2017</v>
      </c>
      <c r="AB950">
        <v>12</v>
      </c>
      <c r="AC950">
        <v>2.74</v>
      </c>
      <c r="AE950" t="s">
        <v>346</v>
      </c>
      <c r="AF950">
        <v>46.142674</v>
      </c>
      <c r="AG950">
        <v>-115.598088</v>
      </c>
      <c r="AH950">
        <v>15338583</v>
      </c>
    </row>
    <row r="951" spans="2:34">
      <c r="B951" t="s">
        <v>345</v>
      </c>
      <c r="C951" t="s">
        <v>987</v>
      </c>
      <c r="D951" s="3">
        <v>42848.333333333336</v>
      </c>
      <c r="F951">
        <v>2017</v>
      </c>
      <c r="G951" t="s">
        <v>578</v>
      </c>
      <c r="H951" t="s">
        <v>352</v>
      </c>
      <c r="J951">
        <v>0</v>
      </c>
      <c r="L951">
        <v>1</v>
      </c>
      <c r="M951">
        <v>188</v>
      </c>
      <c r="N951">
        <v>58</v>
      </c>
      <c r="O951" t="s">
        <v>575</v>
      </c>
      <c r="Q951" t="s">
        <v>1134</v>
      </c>
      <c r="R951" t="s">
        <v>989</v>
      </c>
      <c r="U951">
        <v>7</v>
      </c>
      <c r="V951">
        <v>6.5</v>
      </c>
      <c r="W951" t="s">
        <v>350</v>
      </c>
      <c r="X951" t="s">
        <v>349</v>
      </c>
      <c r="Y951" t="s">
        <v>580</v>
      </c>
      <c r="Z951">
        <v>2017</v>
      </c>
      <c r="AB951">
        <v>13</v>
      </c>
      <c r="AC951">
        <v>5.7</v>
      </c>
      <c r="AE951" t="s">
        <v>346</v>
      </c>
      <c r="AF951">
        <v>46.142674</v>
      </c>
      <c r="AG951">
        <v>-115.598088</v>
      </c>
      <c r="AH951">
        <v>15022844</v>
      </c>
    </row>
    <row r="952" spans="2:34">
      <c r="B952" t="s">
        <v>345</v>
      </c>
      <c r="C952" t="s">
        <v>987</v>
      </c>
      <c r="D952" s="3">
        <v>42848.333333333336</v>
      </c>
      <c r="F952">
        <v>2017</v>
      </c>
      <c r="G952" t="s">
        <v>578</v>
      </c>
      <c r="H952" t="s">
        <v>352</v>
      </c>
      <c r="J952">
        <v>0</v>
      </c>
      <c r="L952">
        <v>1</v>
      </c>
      <c r="M952">
        <v>185</v>
      </c>
      <c r="N952">
        <v>52</v>
      </c>
      <c r="O952" t="s">
        <v>575</v>
      </c>
      <c r="Q952" t="s">
        <v>1135</v>
      </c>
      <c r="R952" t="s">
        <v>989</v>
      </c>
      <c r="U952">
        <v>7</v>
      </c>
      <c r="V952">
        <v>6.5</v>
      </c>
      <c r="W952" t="s">
        <v>350</v>
      </c>
      <c r="X952" t="s">
        <v>349</v>
      </c>
      <c r="Y952" t="s">
        <v>580</v>
      </c>
      <c r="Z952">
        <v>2017</v>
      </c>
      <c r="AB952">
        <v>13</v>
      </c>
      <c r="AC952">
        <v>5.7</v>
      </c>
      <c r="AE952" t="s">
        <v>346</v>
      </c>
      <c r="AF952">
        <v>46.142674</v>
      </c>
      <c r="AG952">
        <v>-115.598088</v>
      </c>
      <c r="AH952">
        <v>15022845</v>
      </c>
    </row>
    <row r="953" spans="2:34">
      <c r="B953" t="s">
        <v>345</v>
      </c>
      <c r="C953" t="s">
        <v>987</v>
      </c>
      <c r="D953" s="3">
        <v>42848.333333333336</v>
      </c>
      <c r="F953">
        <v>2017</v>
      </c>
      <c r="G953" t="s">
        <v>578</v>
      </c>
      <c r="H953" t="s">
        <v>352</v>
      </c>
      <c r="J953">
        <v>0</v>
      </c>
      <c r="L953">
        <v>1</v>
      </c>
      <c r="M953">
        <v>189</v>
      </c>
      <c r="N953">
        <v>59</v>
      </c>
      <c r="O953" t="s">
        <v>575</v>
      </c>
      <c r="Q953" t="s">
        <v>1136</v>
      </c>
      <c r="R953" t="s">
        <v>989</v>
      </c>
      <c r="U953">
        <v>7</v>
      </c>
      <c r="V953">
        <v>6.5</v>
      </c>
      <c r="W953" t="s">
        <v>350</v>
      </c>
      <c r="X953" t="s">
        <v>349</v>
      </c>
      <c r="Y953" t="s">
        <v>580</v>
      </c>
      <c r="Z953">
        <v>2017</v>
      </c>
      <c r="AB953">
        <v>13</v>
      </c>
      <c r="AC953">
        <v>5.7</v>
      </c>
      <c r="AE953" t="s">
        <v>346</v>
      </c>
      <c r="AF953">
        <v>46.142674</v>
      </c>
      <c r="AG953">
        <v>-115.598088</v>
      </c>
      <c r="AH953">
        <v>15022846</v>
      </c>
    </row>
    <row r="954" spans="2:34">
      <c r="B954" t="s">
        <v>345</v>
      </c>
      <c r="C954" t="s">
        <v>987</v>
      </c>
      <c r="D954" s="3">
        <v>42848.333333333336</v>
      </c>
      <c r="F954">
        <v>2017</v>
      </c>
      <c r="G954" t="s">
        <v>578</v>
      </c>
      <c r="H954" t="s">
        <v>352</v>
      </c>
      <c r="J954">
        <v>0</v>
      </c>
      <c r="L954">
        <v>1</v>
      </c>
      <c r="M954">
        <v>191</v>
      </c>
      <c r="N954">
        <v>56</v>
      </c>
      <c r="O954" t="s">
        <v>575</v>
      </c>
      <c r="Q954" t="s">
        <v>1137</v>
      </c>
      <c r="R954" t="s">
        <v>989</v>
      </c>
      <c r="U954">
        <v>7</v>
      </c>
      <c r="V954">
        <v>6.5</v>
      </c>
      <c r="W954" t="s">
        <v>350</v>
      </c>
      <c r="X954" t="s">
        <v>349</v>
      </c>
      <c r="Y954" t="s">
        <v>580</v>
      </c>
      <c r="Z954">
        <v>2017</v>
      </c>
      <c r="AB954">
        <v>13</v>
      </c>
      <c r="AC954">
        <v>5.7</v>
      </c>
      <c r="AE954" t="s">
        <v>346</v>
      </c>
      <c r="AF954">
        <v>46.142674</v>
      </c>
      <c r="AG954">
        <v>-115.598088</v>
      </c>
      <c r="AH954">
        <v>15022847</v>
      </c>
    </row>
    <row r="955" spans="2:34">
      <c r="B955" t="s">
        <v>345</v>
      </c>
      <c r="C955" t="s">
        <v>987</v>
      </c>
      <c r="D955" s="3">
        <v>42848.333333333336</v>
      </c>
      <c r="F955">
        <v>2017</v>
      </c>
      <c r="G955" t="s">
        <v>578</v>
      </c>
      <c r="H955" t="s">
        <v>352</v>
      </c>
      <c r="J955">
        <v>0</v>
      </c>
      <c r="L955">
        <v>1</v>
      </c>
      <c r="M955">
        <v>206</v>
      </c>
      <c r="N955">
        <v>55</v>
      </c>
      <c r="O955" t="s">
        <v>575</v>
      </c>
      <c r="Q955" t="s">
        <v>1138</v>
      </c>
      <c r="R955" t="s">
        <v>989</v>
      </c>
      <c r="U955">
        <v>7</v>
      </c>
      <c r="V955">
        <v>6.5</v>
      </c>
      <c r="W955" t="s">
        <v>350</v>
      </c>
      <c r="X955" t="s">
        <v>349</v>
      </c>
      <c r="Y955" t="s">
        <v>580</v>
      </c>
      <c r="Z955">
        <v>2017</v>
      </c>
      <c r="AB955">
        <v>13</v>
      </c>
      <c r="AC955">
        <v>5.7</v>
      </c>
      <c r="AE955" t="s">
        <v>346</v>
      </c>
      <c r="AF955">
        <v>46.142674</v>
      </c>
      <c r="AG955">
        <v>-115.598088</v>
      </c>
      <c r="AH955">
        <v>15022848</v>
      </c>
    </row>
    <row r="956" spans="2:34">
      <c r="B956" t="s">
        <v>345</v>
      </c>
      <c r="C956" t="s">
        <v>1139</v>
      </c>
      <c r="D956" s="3">
        <v>42822.334722222222</v>
      </c>
      <c r="F956">
        <v>2017</v>
      </c>
      <c r="G956" t="s">
        <v>351</v>
      </c>
      <c r="H956" t="s">
        <v>352</v>
      </c>
      <c r="J956">
        <v>0</v>
      </c>
      <c r="L956">
        <v>1</v>
      </c>
      <c r="M956">
        <v>137</v>
      </c>
      <c r="N956">
        <v>5</v>
      </c>
      <c r="O956" t="s">
        <v>353</v>
      </c>
      <c r="U956">
        <v>4.9000000000000004</v>
      </c>
      <c r="V956">
        <v>4.9000000000000004</v>
      </c>
      <c r="W956" t="s">
        <v>350</v>
      </c>
      <c r="X956" t="s">
        <v>349</v>
      </c>
      <c r="Y956" t="s">
        <v>580</v>
      </c>
      <c r="Z956">
        <v>2017</v>
      </c>
      <c r="AB956">
        <v>13</v>
      </c>
      <c r="AC956">
        <v>6.02</v>
      </c>
      <c r="AE956" t="s">
        <v>346</v>
      </c>
      <c r="AF956">
        <v>46.142674</v>
      </c>
      <c r="AG956">
        <v>-115.598088</v>
      </c>
      <c r="AH956">
        <v>15030916</v>
      </c>
    </row>
    <row r="957" spans="2:34">
      <c r="B957" t="s">
        <v>345</v>
      </c>
      <c r="C957" t="s">
        <v>1139</v>
      </c>
      <c r="D957" s="3">
        <v>42822.334722222222</v>
      </c>
      <c r="F957">
        <v>2017</v>
      </c>
      <c r="G957" t="s">
        <v>351</v>
      </c>
      <c r="H957" t="s">
        <v>352</v>
      </c>
      <c r="J957">
        <v>0</v>
      </c>
      <c r="L957">
        <v>1</v>
      </c>
      <c r="M957">
        <v>120</v>
      </c>
      <c r="N957">
        <v>3</v>
      </c>
      <c r="O957" t="s">
        <v>353</v>
      </c>
      <c r="U957">
        <v>4.9000000000000004</v>
      </c>
      <c r="V957">
        <v>4.9000000000000004</v>
      </c>
      <c r="W957" t="s">
        <v>350</v>
      </c>
      <c r="X957" t="s">
        <v>349</v>
      </c>
      <c r="Y957" t="s">
        <v>580</v>
      </c>
      <c r="Z957">
        <v>2017</v>
      </c>
      <c r="AB957">
        <v>13</v>
      </c>
      <c r="AC957">
        <v>6.02</v>
      </c>
      <c r="AE957" t="s">
        <v>346</v>
      </c>
      <c r="AF957">
        <v>46.142674</v>
      </c>
      <c r="AG957">
        <v>-115.598088</v>
      </c>
      <c r="AH957">
        <v>15030917</v>
      </c>
    </row>
    <row r="958" spans="2:34">
      <c r="B958" t="s">
        <v>345</v>
      </c>
      <c r="C958" t="s">
        <v>1139</v>
      </c>
      <c r="D958" s="3">
        <v>42822.334722222222</v>
      </c>
      <c r="F958">
        <v>2017</v>
      </c>
      <c r="G958" t="s">
        <v>578</v>
      </c>
      <c r="H958" t="s">
        <v>352</v>
      </c>
      <c r="J958">
        <v>0</v>
      </c>
      <c r="L958">
        <v>1</v>
      </c>
      <c r="M958">
        <v>172</v>
      </c>
      <c r="N958">
        <v>54</v>
      </c>
      <c r="O958" t="s">
        <v>575</v>
      </c>
      <c r="Q958" t="s">
        <v>1140</v>
      </c>
      <c r="U958">
        <v>4.9000000000000004</v>
      </c>
      <c r="V958">
        <v>4.9000000000000004</v>
      </c>
      <c r="W958" t="s">
        <v>350</v>
      </c>
      <c r="X958" t="s">
        <v>349</v>
      </c>
      <c r="Y958" t="s">
        <v>580</v>
      </c>
      <c r="Z958">
        <v>2017</v>
      </c>
      <c r="AB958">
        <v>13</v>
      </c>
      <c r="AC958">
        <v>6.02</v>
      </c>
      <c r="AE958" t="s">
        <v>346</v>
      </c>
      <c r="AF958">
        <v>46.142674</v>
      </c>
      <c r="AG958">
        <v>-115.598088</v>
      </c>
      <c r="AH958">
        <v>15030918</v>
      </c>
    </row>
    <row r="959" spans="2:34">
      <c r="B959" t="s">
        <v>345</v>
      </c>
      <c r="C959" t="s">
        <v>1141</v>
      </c>
      <c r="D959" s="3">
        <v>42913.320833333331</v>
      </c>
      <c r="F959">
        <v>2017</v>
      </c>
      <c r="G959" t="s">
        <v>482</v>
      </c>
      <c r="H959" t="s">
        <v>352</v>
      </c>
      <c r="J959">
        <v>0</v>
      </c>
      <c r="L959">
        <v>1</v>
      </c>
      <c r="M959">
        <v>86</v>
      </c>
      <c r="N959">
        <v>6</v>
      </c>
      <c r="O959" t="s">
        <v>353</v>
      </c>
      <c r="R959" t="s">
        <v>1142</v>
      </c>
      <c r="U959">
        <v>16</v>
      </c>
      <c r="V959">
        <v>16</v>
      </c>
      <c r="W959" t="s">
        <v>350</v>
      </c>
      <c r="X959" t="s">
        <v>349</v>
      </c>
      <c r="Y959" t="s">
        <v>580</v>
      </c>
      <c r="Z959">
        <v>2017</v>
      </c>
      <c r="AB959">
        <v>10</v>
      </c>
      <c r="AC959">
        <v>4.3600000000000003</v>
      </c>
      <c r="AE959" t="s">
        <v>346</v>
      </c>
      <c r="AF959">
        <v>46.142674</v>
      </c>
      <c r="AG959">
        <v>-115.598088</v>
      </c>
      <c r="AH959">
        <v>15140657</v>
      </c>
    </row>
    <row r="960" spans="2:34">
      <c r="B960" t="s">
        <v>345</v>
      </c>
      <c r="C960" t="s">
        <v>1141</v>
      </c>
      <c r="D960" s="3">
        <v>42913.320833333331</v>
      </c>
      <c r="F960">
        <v>2017</v>
      </c>
      <c r="G960" t="s">
        <v>611</v>
      </c>
      <c r="H960" t="s">
        <v>352</v>
      </c>
      <c r="J960">
        <v>0</v>
      </c>
      <c r="L960">
        <v>1</v>
      </c>
      <c r="M960">
        <v>70</v>
      </c>
      <c r="N960">
        <v>4</v>
      </c>
      <c r="O960" t="s">
        <v>353</v>
      </c>
      <c r="R960" t="s">
        <v>1142</v>
      </c>
      <c r="U960">
        <v>16</v>
      </c>
      <c r="V960">
        <v>16</v>
      </c>
      <c r="W960" t="s">
        <v>350</v>
      </c>
      <c r="X960" t="s">
        <v>349</v>
      </c>
      <c r="Y960" t="s">
        <v>580</v>
      </c>
      <c r="Z960">
        <v>2017</v>
      </c>
      <c r="AB960">
        <v>10</v>
      </c>
      <c r="AC960">
        <v>4.3600000000000003</v>
      </c>
      <c r="AE960" t="s">
        <v>346</v>
      </c>
      <c r="AF960">
        <v>46.142674</v>
      </c>
      <c r="AG960">
        <v>-115.598088</v>
      </c>
      <c r="AH960">
        <v>15140658</v>
      </c>
    </row>
    <row r="961" spans="2:35">
      <c r="B961" t="s">
        <v>345</v>
      </c>
      <c r="C961" t="s">
        <v>1141</v>
      </c>
      <c r="D961" s="3">
        <v>42913.320833333331</v>
      </c>
      <c r="F961">
        <v>2017</v>
      </c>
      <c r="G961" t="s">
        <v>611</v>
      </c>
      <c r="H961" t="s">
        <v>352</v>
      </c>
      <c r="J961">
        <v>0</v>
      </c>
      <c r="L961">
        <v>1</v>
      </c>
      <c r="M961">
        <v>84</v>
      </c>
      <c r="N961">
        <v>6</v>
      </c>
      <c r="O961" t="s">
        <v>353</v>
      </c>
      <c r="R961" t="s">
        <v>1142</v>
      </c>
      <c r="U961">
        <v>16</v>
      </c>
      <c r="V961">
        <v>16</v>
      </c>
      <c r="W961" t="s">
        <v>350</v>
      </c>
      <c r="X961" t="s">
        <v>349</v>
      </c>
      <c r="Y961" t="s">
        <v>580</v>
      </c>
      <c r="Z961">
        <v>2017</v>
      </c>
      <c r="AB961">
        <v>10</v>
      </c>
      <c r="AC961">
        <v>4.3600000000000003</v>
      </c>
      <c r="AE961" t="s">
        <v>346</v>
      </c>
      <c r="AF961">
        <v>46.142674</v>
      </c>
      <c r="AG961">
        <v>-115.598088</v>
      </c>
      <c r="AH961">
        <v>15140659</v>
      </c>
    </row>
    <row r="962" spans="2:35">
      <c r="B962" t="s">
        <v>345</v>
      </c>
      <c r="C962" t="s">
        <v>1141</v>
      </c>
      <c r="D962" s="3">
        <v>42913.320833333331</v>
      </c>
      <c r="F962">
        <v>2017</v>
      </c>
      <c r="G962" t="s">
        <v>605</v>
      </c>
      <c r="H962" t="s">
        <v>352</v>
      </c>
      <c r="J962">
        <v>0</v>
      </c>
      <c r="L962">
        <v>1</v>
      </c>
      <c r="M962">
        <v>104</v>
      </c>
      <c r="N962">
        <v>14</v>
      </c>
      <c r="O962" t="s">
        <v>353</v>
      </c>
      <c r="R962" t="s">
        <v>1142</v>
      </c>
      <c r="U962">
        <v>16</v>
      </c>
      <c r="V962">
        <v>16</v>
      </c>
      <c r="W962" t="s">
        <v>350</v>
      </c>
      <c r="X962" t="s">
        <v>349</v>
      </c>
      <c r="Y962" t="s">
        <v>580</v>
      </c>
      <c r="Z962">
        <v>2017</v>
      </c>
      <c r="AB962">
        <v>10</v>
      </c>
      <c r="AC962">
        <v>4.3600000000000003</v>
      </c>
      <c r="AE962" t="s">
        <v>346</v>
      </c>
      <c r="AF962">
        <v>46.142674</v>
      </c>
      <c r="AG962">
        <v>-115.598088</v>
      </c>
      <c r="AH962">
        <v>15140660</v>
      </c>
    </row>
    <row r="963" spans="2:35">
      <c r="B963" t="s">
        <v>345</v>
      </c>
      <c r="C963" t="s">
        <v>1141</v>
      </c>
      <c r="D963" s="3">
        <v>42913.320833333331</v>
      </c>
      <c r="F963">
        <v>2017</v>
      </c>
      <c r="G963" t="s">
        <v>605</v>
      </c>
      <c r="H963" t="s">
        <v>352</v>
      </c>
      <c r="J963">
        <v>0</v>
      </c>
      <c r="L963">
        <v>1</v>
      </c>
      <c r="M963">
        <v>110</v>
      </c>
      <c r="N963">
        <v>16</v>
      </c>
      <c r="O963" t="s">
        <v>353</v>
      </c>
      <c r="R963" t="s">
        <v>1142</v>
      </c>
      <c r="U963">
        <v>16</v>
      </c>
      <c r="V963">
        <v>16</v>
      </c>
      <c r="W963" t="s">
        <v>350</v>
      </c>
      <c r="X963" t="s">
        <v>349</v>
      </c>
      <c r="Y963" t="s">
        <v>580</v>
      </c>
      <c r="Z963">
        <v>2017</v>
      </c>
      <c r="AB963">
        <v>10</v>
      </c>
      <c r="AC963">
        <v>4.3600000000000003</v>
      </c>
      <c r="AE963" t="s">
        <v>346</v>
      </c>
      <c r="AF963">
        <v>46.142674</v>
      </c>
      <c r="AG963">
        <v>-115.598088</v>
      </c>
      <c r="AH963">
        <v>15140661</v>
      </c>
    </row>
    <row r="964" spans="2:35">
      <c r="B964" t="s">
        <v>345</v>
      </c>
      <c r="C964" t="s">
        <v>1141</v>
      </c>
      <c r="D964" s="3">
        <v>42913.320833333331</v>
      </c>
      <c r="F964">
        <v>2017</v>
      </c>
      <c r="G964" t="s">
        <v>615</v>
      </c>
      <c r="H964" t="s">
        <v>352</v>
      </c>
      <c r="J964">
        <v>0</v>
      </c>
      <c r="L964">
        <v>1</v>
      </c>
      <c r="M964">
        <v>152</v>
      </c>
      <c r="N964">
        <v>48</v>
      </c>
      <c r="O964" t="s">
        <v>353</v>
      </c>
      <c r="R964" t="s">
        <v>1142</v>
      </c>
      <c r="U964">
        <v>16</v>
      </c>
      <c r="V964">
        <v>16</v>
      </c>
      <c r="W964" t="s">
        <v>350</v>
      </c>
      <c r="X964" t="s">
        <v>349</v>
      </c>
      <c r="Y964" t="s">
        <v>580</v>
      </c>
      <c r="Z964">
        <v>2017</v>
      </c>
      <c r="AB964">
        <v>10</v>
      </c>
      <c r="AC964">
        <v>4.3600000000000003</v>
      </c>
      <c r="AE964" t="s">
        <v>346</v>
      </c>
      <c r="AF964">
        <v>46.142674</v>
      </c>
      <c r="AG964">
        <v>-115.598088</v>
      </c>
      <c r="AH964">
        <v>15140662</v>
      </c>
    </row>
    <row r="965" spans="2:35">
      <c r="B965" t="s">
        <v>345</v>
      </c>
      <c r="C965" t="s">
        <v>1143</v>
      </c>
      <c r="D965" s="3">
        <v>42914.315972222219</v>
      </c>
      <c r="F965">
        <v>2017</v>
      </c>
      <c r="G965" t="s">
        <v>611</v>
      </c>
      <c r="H965" t="s">
        <v>352</v>
      </c>
      <c r="J965">
        <v>0</v>
      </c>
      <c r="L965">
        <v>1</v>
      </c>
      <c r="M965">
        <v>71</v>
      </c>
      <c r="N965">
        <v>5</v>
      </c>
      <c r="O965" t="s">
        <v>353</v>
      </c>
      <c r="R965" t="s">
        <v>1144</v>
      </c>
      <c r="U965">
        <v>15</v>
      </c>
      <c r="V965">
        <v>15</v>
      </c>
      <c r="W965" t="s">
        <v>350</v>
      </c>
      <c r="X965" t="s">
        <v>349</v>
      </c>
      <c r="Y965" t="s">
        <v>580</v>
      </c>
      <c r="Z965">
        <v>2017</v>
      </c>
      <c r="AB965">
        <v>10</v>
      </c>
      <c r="AC965">
        <v>4.34</v>
      </c>
      <c r="AE965" t="s">
        <v>346</v>
      </c>
      <c r="AF965">
        <v>46.142674</v>
      </c>
      <c r="AG965">
        <v>-115.598088</v>
      </c>
      <c r="AH965">
        <v>15378438</v>
      </c>
    </row>
    <row r="966" spans="2:35">
      <c r="B966" t="s">
        <v>345</v>
      </c>
      <c r="C966" t="s">
        <v>1143</v>
      </c>
      <c r="D966" s="3">
        <v>42914.315972222219</v>
      </c>
      <c r="F966">
        <v>2017</v>
      </c>
      <c r="G966" t="s">
        <v>605</v>
      </c>
      <c r="H966" t="s">
        <v>352</v>
      </c>
      <c r="J966">
        <v>0</v>
      </c>
      <c r="L966">
        <v>1</v>
      </c>
      <c r="M966">
        <v>103</v>
      </c>
      <c r="N966">
        <v>14</v>
      </c>
      <c r="O966" t="s">
        <v>353</v>
      </c>
      <c r="R966" t="s">
        <v>1144</v>
      </c>
      <c r="U966">
        <v>15</v>
      </c>
      <c r="V966">
        <v>15</v>
      </c>
      <c r="W966" t="s">
        <v>350</v>
      </c>
      <c r="X966" t="s">
        <v>349</v>
      </c>
      <c r="Y966" t="s">
        <v>580</v>
      </c>
      <c r="Z966">
        <v>2017</v>
      </c>
      <c r="AB966">
        <v>10</v>
      </c>
      <c r="AC966">
        <v>4.34</v>
      </c>
      <c r="AE966" t="s">
        <v>346</v>
      </c>
      <c r="AF966">
        <v>46.142674</v>
      </c>
      <c r="AG966">
        <v>-115.598088</v>
      </c>
      <c r="AH966">
        <v>15378439</v>
      </c>
    </row>
    <row r="967" spans="2:35">
      <c r="B967" t="s">
        <v>345</v>
      </c>
      <c r="C967" t="s">
        <v>1143</v>
      </c>
      <c r="D967" s="3">
        <v>42914.315972222219</v>
      </c>
      <c r="F967">
        <v>2017</v>
      </c>
      <c r="G967" t="s">
        <v>480</v>
      </c>
      <c r="H967" t="s">
        <v>352</v>
      </c>
      <c r="J967">
        <v>0</v>
      </c>
      <c r="L967">
        <v>1</v>
      </c>
      <c r="M967">
        <v>37</v>
      </c>
      <c r="N967">
        <v>0</v>
      </c>
      <c r="O967" t="s">
        <v>353</v>
      </c>
      <c r="R967" t="s">
        <v>1144</v>
      </c>
      <c r="U967">
        <v>15</v>
      </c>
      <c r="V967">
        <v>15</v>
      </c>
      <c r="W967" t="s">
        <v>350</v>
      </c>
      <c r="X967" t="s">
        <v>349</v>
      </c>
      <c r="Y967" t="s">
        <v>580</v>
      </c>
      <c r="Z967">
        <v>2017</v>
      </c>
      <c r="AB967">
        <v>10</v>
      </c>
      <c r="AC967">
        <v>4.34</v>
      </c>
      <c r="AE967" t="s">
        <v>346</v>
      </c>
      <c r="AF967">
        <v>46.142674</v>
      </c>
      <c r="AG967">
        <v>-115.598088</v>
      </c>
      <c r="AH967">
        <v>15378440</v>
      </c>
    </row>
    <row r="968" spans="2:35">
      <c r="B968" t="s">
        <v>345</v>
      </c>
      <c r="C968" t="s">
        <v>1143</v>
      </c>
      <c r="D968" s="3">
        <v>42914.315972222219</v>
      </c>
      <c r="F968">
        <v>2017</v>
      </c>
      <c r="G968" t="s">
        <v>574</v>
      </c>
      <c r="H968" t="s">
        <v>352</v>
      </c>
      <c r="J968">
        <v>0</v>
      </c>
      <c r="L968">
        <v>1</v>
      </c>
      <c r="M968">
        <v>52</v>
      </c>
      <c r="N968">
        <v>2</v>
      </c>
      <c r="O968" t="s">
        <v>609</v>
      </c>
      <c r="R968" t="s">
        <v>1144</v>
      </c>
      <c r="U968">
        <v>15</v>
      </c>
      <c r="V968">
        <v>15</v>
      </c>
      <c r="W968" t="s">
        <v>350</v>
      </c>
      <c r="X968" t="s">
        <v>349</v>
      </c>
      <c r="Y968" t="s">
        <v>580</v>
      </c>
      <c r="Z968">
        <v>2017</v>
      </c>
      <c r="AB968">
        <v>10</v>
      </c>
      <c r="AC968">
        <v>4.34</v>
      </c>
      <c r="AE968" t="s">
        <v>346</v>
      </c>
      <c r="AF968">
        <v>46.142674</v>
      </c>
      <c r="AG968">
        <v>-115.598088</v>
      </c>
      <c r="AH968">
        <v>15378441</v>
      </c>
    </row>
    <row r="969" spans="2:35">
      <c r="B969" t="s">
        <v>345</v>
      </c>
      <c r="C969" t="s">
        <v>1143</v>
      </c>
      <c r="D969" s="3">
        <v>42914.315972222219</v>
      </c>
      <c r="F969">
        <v>2017</v>
      </c>
      <c r="G969" t="s">
        <v>743</v>
      </c>
      <c r="H969" t="s">
        <v>352</v>
      </c>
      <c r="J969">
        <v>0</v>
      </c>
      <c r="L969">
        <v>1</v>
      </c>
      <c r="M969">
        <v>76</v>
      </c>
      <c r="N969">
        <v>6</v>
      </c>
      <c r="O969" t="s">
        <v>353</v>
      </c>
      <c r="R969" t="s">
        <v>1144</v>
      </c>
      <c r="U969">
        <v>15</v>
      </c>
      <c r="V969">
        <v>15</v>
      </c>
      <c r="W969" t="s">
        <v>350</v>
      </c>
      <c r="X969" t="s">
        <v>349</v>
      </c>
      <c r="Y969" t="s">
        <v>580</v>
      </c>
      <c r="Z969">
        <v>2017</v>
      </c>
      <c r="AB969">
        <v>10</v>
      </c>
      <c r="AC969">
        <v>4.34</v>
      </c>
      <c r="AE969" t="s">
        <v>346</v>
      </c>
      <c r="AF969">
        <v>46.142674</v>
      </c>
      <c r="AG969">
        <v>-115.598088</v>
      </c>
      <c r="AH969">
        <v>15378442</v>
      </c>
    </row>
    <row r="970" spans="2:35">
      <c r="B970" t="s">
        <v>345</v>
      </c>
      <c r="C970" t="s">
        <v>1143</v>
      </c>
      <c r="D970" s="3">
        <v>42914.315972222219</v>
      </c>
      <c r="F970">
        <v>2017</v>
      </c>
      <c r="G970" t="s">
        <v>482</v>
      </c>
      <c r="H970" t="s">
        <v>352</v>
      </c>
      <c r="J970">
        <v>0</v>
      </c>
      <c r="L970">
        <v>1</v>
      </c>
      <c r="M970">
        <v>80</v>
      </c>
      <c r="N970">
        <v>6</v>
      </c>
      <c r="O970" t="s">
        <v>353</v>
      </c>
      <c r="R970" t="s">
        <v>1144</v>
      </c>
      <c r="U970">
        <v>15</v>
      </c>
      <c r="V970">
        <v>15</v>
      </c>
      <c r="W970" t="s">
        <v>350</v>
      </c>
      <c r="X970" t="s">
        <v>349</v>
      </c>
      <c r="Y970" t="s">
        <v>580</v>
      </c>
      <c r="Z970">
        <v>2017</v>
      </c>
      <c r="AB970">
        <v>10</v>
      </c>
      <c r="AC970">
        <v>4.34</v>
      </c>
      <c r="AE970" t="s">
        <v>346</v>
      </c>
      <c r="AF970">
        <v>46.142674</v>
      </c>
      <c r="AG970">
        <v>-115.598088</v>
      </c>
      <c r="AH970">
        <v>15378443</v>
      </c>
    </row>
    <row r="971" spans="2:35">
      <c r="B971" t="s">
        <v>345</v>
      </c>
      <c r="C971" t="s">
        <v>1143</v>
      </c>
      <c r="D971" s="3">
        <v>42914.315972222219</v>
      </c>
      <c r="F971">
        <v>2017</v>
      </c>
      <c r="G971" t="s">
        <v>605</v>
      </c>
      <c r="H971" t="s">
        <v>352</v>
      </c>
      <c r="J971">
        <v>0</v>
      </c>
      <c r="L971">
        <v>1</v>
      </c>
      <c r="M971">
        <v>55</v>
      </c>
      <c r="N971">
        <v>2</v>
      </c>
      <c r="O971" t="s">
        <v>353</v>
      </c>
      <c r="R971" t="s">
        <v>1144</v>
      </c>
      <c r="U971">
        <v>15</v>
      </c>
      <c r="V971">
        <v>15</v>
      </c>
      <c r="W971" t="s">
        <v>350</v>
      </c>
      <c r="X971" t="s">
        <v>349</v>
      </c>
      <c r="Y971" t="s">
        <v>580</v>
      </c>
      <c r="Z971">
        <v>2017</v>
      </c>
      <c r="AB971">
        <v>10</v>
      </c>
      <c r="AC971">
        <v>4.34</v>
      </c>
      <c r="AE971" t="s">
        <v>346</v>
      </c>
      <c r="AF971">
        <v>46.142674</v>
      </c>
      <c r="AG971">
        <v>-115.598088</v>
      </c>
      <c r="AH971">
        <v>15378444</v>
      </c>
    </row>
    <row r="972" spans="2:35">
      <c r="B972" t="s">
        <v>345</v>
      </c>
      <c r="C972" t="s">
        <v>1143</v>
      </c>
      <c r="D972" s="3">
        <v>42914.315972222219</v>
      </c>
      <c r="F972">
        <v>2017</v>
      </c>
      <c r="G972" t="s">
        <v>611</v>
      </c>
      <c r="H972" t="s">
        <v>352</v>
      </c>
      <c r="J972">
        <v>0</v>
      </c>
      <c r="L972">
        <v>1</v>
      </c>
      <c r="M972">
        <v>84</v>
      </c>
      <c r="N972">
        <v>7</v>
      </c>
      <c r="O972" t="s">
        <v>353</v>
      </c>
      <c r="R972" t="s">
        <v>1144</v>
      </c>
      <c r="U972">
        <v>15</v>
      </c>
      <c r="V972">
        <v>15</v>
      </c>
      <c r="W972" t="s">
        <v>350</v>
      </c>
      <c r="X972" t="s">
        <v>349</v>
      </c>
      <c r="Y972" t="s">
        <v>580</v>
      </c>
      <c r="Z972">
        <v>2017</v>
      </c>
      <c r="AB972">
        <v>10</v>
      </c>
      <c r="AC972">
        <v>4.34</v>
      </c>
      <c r="AE972" t="s">
        <v>346</v>
      </c>
      <c r="AF972">
        <v>46.142674</v>
      </c>
      <c r="AG972">
        <v>-115.598088</v>
      </c>
      <c r="AH972">
        <v>15378445</v>
      </c>
    </row>
    <row r="973" spans="2:35">
      <c r="B973" t="s">
        <v>345</v>
      </c>
      <c r="C973" t="s">
        <v>1145</v>
      </c>
      <c r="D973" s="3">
        <v>42972.688194444447</v>
      </c>
      <c r="F973">
        <v>2017</v>
      </c>
      <c r="G973" t="s">
        <v>578</v>
      </c>
      <c r="H973" t="s">
        <v>352</v>
      </c>
      <c r="J973">
        <v>0</v>
      </c>
      <c r="L973">
        <v>1</v>
      </c>
      <c r="M973">
        <v>0</v>
      </c>
      <c r="N973">
        <v>0</v>
      </c>
      <c r="O973" t="s">
        <v>773</v>
      </c>
      <c r="R973" t="s">
        <v>603</v>
      </c>
      <c r="U973">
        <v>25</v>
      </c>
      <c r="V973">
        <v>25</v>
      </c>
      <c r="W973" t="s">
        <v>350</v>
      </c>
      <c r="X973" t="s">
        <v>349</v>
      </c>
      <c r="Y973" t="s">
        <v>348</v>
      </c>
      <c r="Z973">
        <v>2017</v>
      </c>
      <c r="AB973">
        <v>6</v>
      </c>
      <c r="AC973">
        <v>1.91</v>
      </c>
      <c r="AE973" t="s">
        <v>346</v>
      </c>
      <c r="AF973">
        <v>46.142674</v>
      </c>
      <c r="AG973">
        <v>-115.598088</v>
      </c>
      <c r="AH973">
        <v>15379185</v>
      </c>
    </row>
    <row r="974" spans="2:35">
      <c r="B974" t="s">
        <v>345</v>
      </c>
      <c r="C974" t="s">
        <v>1145</v>
      </c>
      <c r="D974" s="3">
        <v>42972.688194444447</v>
      </c>
      <c r="F974">
        <v>2017</v>
      </c>
      <c r="G974" t="s">
        <v>480</v>
      </c>
      <c r="H974" t="s">
        <v>352</v>
      </c>
      <c r="J974">
        <v>0</v>
      </c>
      <c r="L974">
        <v>2</v>
      </c>
      <c r="M974">
        <v>0</v>
      </c>
      <c r="N974">
        <v>0</v>
      </c>
      <c r="O974" t="s">
        <v>643</v>
      </c>
      <c r="R974" t="s">
        <v>603</v>
      </c>
      <c r="U974">
        <v>25</v>
      </c>
      <c r="V974">
        <v>25</v>
      </c>
      <c r="W974" t="s">
        <v>350</v>
      </c>
      <c r="X974" t="s">
        <v>349</v>
      </c>
      <c r="Y974" t="s">
        <v>348</v>
      </c>
      <c r="Z974">
        <v>2017</v>
      </c>
      <c r="AB974">
        <v>6</v>
      </c>
      <c r="AC974">
        <v>1.91</v>
      </c>
      <c r="AE974" t="s">
        <v>346</v>
      </c>
      <c r="AF974">
        <v>46.142674</v>
      </c>
      <c r="AG974">
        <v>-115.598088</v>
      </c>
      <c r="AH974">
        <v>15379186</v>
      </c>
    </row>
    <row r="975" spans="2:35">
      <c r="B975" t="s">
        <v>345</v>
      </c>
      <c r="C975" t="s">
        <v>1145</v>
      </c>
      <c r="D975" s="3">
        <v>42972.688194444447</v>
      </c>
      <c r="F975">
        <v>2017</v>
      </c>
      <c r="G975" t="s">
        <v>605</v>
      </c>
      <c r="H975" t="s">
        <v>352</v>
      </c>
      <c r="J975">
        <v>0</v>
      </c>
      <c r="L975">
        <v>50</v>
      </c>
      <c r="M975">
        <v>0</v>
      </c>
      <c r="N975">
        <v>0</v>
      </c>
      <c r="O975" t="s">
        <v>606</v>
      </c>
      <c r="R975" t="s">
        <v>603</v>
      </c>
      <c r="U975">
        <v>25</v>
      </c>
      <c r="V975">
        <v>25</v>
      </c>
      <c r="W975" t="s">
        <v>350</v>
      </c>
      <c r="X975" t="s">
        <v>349</v>
      </c>
      <c r="Y975" t="s">
        <v>348</v>
      </c>
      <c r="Z975">
        <v>2017</v>
      </c>
      <c r="AB975">
        <v>6</v>
      </c>
      <c r="AC975">
        <v>1.91</v>
      </c>
      <c r="AE975" t="s">
        <v>346</v>
      </c>
      <c r="AF975">
        <v>46.142674</v>
      </c>
      <c r="AG975">
        <v>-115.598088</v>
      </c>
      <c r="AH975">
        <v>15379187</v>
      </c>
    </row>
    <row r="976" spans="2:35">
      <c r="B976" t="s">
        <v>345</v>
      </c>
      <c r="C976" t="s">
        <v>1146</v>
      </c>
      <c r="D976" s="3">
        <v>42854.296527777777</v>
      </c>
      <c r="F976">
        <v>2017</v>
      </c>
      <c r="G976" t="s">
        <v>578</v>
      </c>
      <c r="H976" t="s">
        <v>352</v>
      </c>
      <c r="J976">
        <v>0</v>
      </c>
      <c r="L976">
        <v>1</v>
      </c>
      <c r="M976">
        <v>165</v>
      </c>
      <c r="N976">
        <v>43</v>
      </c>
      <c r="O976" t="s">
        <v>575</v>
      </c>
      <c r="Q976" t="s">
        <v>1147</v>
      </c>
      <c r="R976" t="s">
        <v>608</v>
      </c>
      <c r="U976">
        <v>5</v>
      </c>
      <c r="V976">
        <v>5</v>
      </c>
      <c r="W976" t="s">
        <v>350</v>
      </c>
      <c r="X976" t="s">
        <v>349</v>
      </c>
      <c r="Y976" t="s">
        <v>348</v>
      </c>
      <c r="Z976">
        <v>2017</v>
      </c>
      <c r="AB976">
        <v>12</v>
      </c>
      <c r="AC976">
        <v>5.59</v>
      </c>
      <c r="AE976" t="s">
        <v>346</v>
      </c>
      <c r="AF976">
        <v>46.142674</v>
      </c>
      <c r="AG976">
        <v>-115.598088</v>
      </c>
      <c r="AH976">
        <v>15380704</v>
      </c>
      <c r="AI976">
        <f>17-68344</f>
        <v>-68327</v>
      </c>
    </row>
    <row r="977" spans="2:35">
      <c r="B977" t="s">
        <v>345</v>
      </c>
      <c r="C977" t="s">
        <v>1146</v>
      </c>
      <c r="D977" s="3">
        <v>42854.296527777777</v>
      </c>
      <c r="F977">
        <v>2017</v>
      </c>
      <c r="G977" t="s">
        <v>578</v>
      </c>
      <c r="H977" t="s">
        <v>352</v>
      </c>
      <c r="J977">
        <v>0</v>
      </c>
      <c r="L977">
        <v>1</v>
      </c>
      <c r="M977">
        <v>169</v>
      </c>
      <c r="N977">
        <v>42</v>
      </c>
      <c r="O977" t="s">
        <v>575</v>
      </c>
      <c r="Q977" t="s">
        <v>1148</v>
      </c>
      <c r="R977" t="s">
        <v>608</v>
      </c>
      <c r="U977">
        <v>5</v>
      </c>
      <c r="V977">
        <v>5</v>
      </c>
      <c r="W977" t="s">
        <v>350</v>
      </c>
      <c r="X977" t="s">
        <v>349</v>
      </c>
      <c r="Y977" t="s">
        <v>348</v>
      </c>
      <c r="Z977">
        <v>2017</v>
      </c>
      <c r="AB977">
        <v>12</v>
      </c>
      <c r="AC977">
        <v>5.59</v>
      </c>
      <c r="AE977" t="s">
        <v>346</v>
      </c>
      <c r="AF977">
        <v>46.142674</v>
      </c>
      <c r="AG977">
        <v>-115.598088</v>
      </c>
      <c r="AH977">
        <v>15380705</v>
      </c>
      <c r="AI977">
        <f>17-68345</f>
        <v>-68328</v>
      </c>
    </row>
    <row r="978" spans="2:35">
      <c r="B978" t="s">
        <v>345</v>
      </c>
      <c r="C978" t="s">
        <v>1146</v>
      </c>
      <c r="D978" s="3">
        <v>42854.296527777777</v>
      </c>
      <c r="F978">
        <v>2017</v>
      </c>
      <c r="G978" t="s">
        <v>578</v>
      </c>
      <c r="H978" t="s">
        <v>352</v>
      </c>
      <c r="J978">
        <v>0</v>
      </c>
      <c r="L978">
        <v>1</v>
      </c>
      <c r="M978">
        <v>165</v>
      </c>
      <c r="N978">
        <v>38</v>
      </c>
      <c r="O978" t="s">
        <v>575</v>
      </c>
      <c r="Q978" t="s">
        <v>1149</v>
      </c>
      <c r="R978" t="s">
        <v>608</v>
      </c>
      <c r="U978">
        <v>5</v>
      </c>
      <c r="V978">
        <v>5</v>
      </c>
      <c r="W978" t="s">
        <v>350</v>
      </c>
      <c r="X978" t="s">
        <v>349</v>
      </c>
      <c r="Y978" t="s">
        <v>348</v>
      </c>
      <c r="Z978">
        <v>2017</v>
      </c>
      <c r="AB978">
        <v>12</v>
      </c>
      <c r="AC978">
        <v>5.59</v>
      </c>
      <c r="AE978" t="s">
        <v>346</v>
      </c>
      <c r="AF978">
        <v>46.142674</v>
      </c>
      <c r="AG978">
        <v>-115.598088</v>
      </c>
      <c r="AH978">
        <v>15380706</v>
      </c>
      <c r="AI978">
        <f>17-68343</f>
        <v>-68326</v>
      </c>
    </row>
    <row r="979" spans="2:35">
      <c r="B979" t="s">
        <v>345</v>
      </c>
      <c r="C979" t="s">
        <v>1146</v>
      </c>
      <c r="D979" s="3">
        <v>42854.296527777777</v>
      </c>
      <c r="F979">
        <v>2017</v>
      </c>
      <c r="G979" t="s">
        <v>578</v>
      </c>
      <c r="H979" t="s">
        <v>352</v>
      </c>
      <c r="J979">
        <v>0</v>
      </c>
      <c r="L979">
        <v>1</v>
      </c>
      <c r="M979">
        <v>174</v>
      </c>
      <c r="N979">
        <v>49</v>
      </c>
      <c r="O979" t="s">
        <v>575</v>
      </c>
      <c r="Q979" t="s">
        <v>1150</v>
      </c>
      <c r="R979" t="s">
        <v>608</v>
      </c>
      <c r="U979">
        <v>5</v>
      </c>
      <c r="V979">
        <v>5</v>
      </c>
      <c r="W979" t="s">
        <v>350</v>
      </c>
      <c r="X979" t="s">
        <v>349</v>
      </c>
      <c r="Y979" t="s">
        <v>348</v>
      </c>
      <c r="Z979">
        <v>2017</v>
      </c>
      <c r="AB979">
        <v>12</v>
      </c>
      <c r="AC979">
        <v>5.59</v>
      </c>
      <c r="AE979" t="s">
        <v>346</v>
      </c>
      <c r="AF979">
        <v>46.142674</v>
      </c>
      <c r="AG979">
        <v>-115.598088</v>
      </c>
      <c r="AH979">
        <v>15380707</v>
      </c>
      <c r="AI979">
        <f>17-68339</f>
        <v>-68322</v>
      </c>
    </row>
    <row r="980" spans="2:35">
      <c r="B980" t="s">
        <v>345</v>
      </c>
      <c r="C980" t="s">
        <v>1146</v>
      </c>
      <c r="D980" s="3">
        <v>42854.296527777777</v>
      </c>
      <c r="F980">
        <v>2017</v>
      </c>
      <c r="G980" t="s">
        <v>578</v>
      </c>
      <c r="H980" t="s">
        <v>352</v>
      </c>
      <c r="J980">
        <v>0</v>
      </c>
      <c r="L980">
        <v>1</v>
      </c>
      <c r="M980">
        <v>184</v>
      </c>
      <c r="N980">
        <v>49</v>
      </c>
      <c r="O980" t="s">
        <v>575</v>
      </c>
      <c r="Q980" t="s">
        <v>1151</v>
      </c>
      <c r="R980" t="s">
        <v>608</v>
      </c>
      <c r="U980">
        <v>5</v>
      </c>
      <c r="V980">
        <v>5</v>
      </c>
      <c r="W980" t="s">
        <v>350</v>
      </c>
      <c r="X980" t="s">
        <v>349</v>
      </c>
      <c r="Y980" t="s">
        <v>348</v>
      </c>
      <c r="Z980">
        <v>2017</v>
      </c>
      <c r="AB980">
        <v>12</v>
      </c>
      <c r="AC980">
        <v>5.59</v>
      </c>
      <c r="AE980" t="s">
        <v>346</v>
      </c>
      <c r="AF980">
        <v>46.142674</v>
      </c>
      <c r="AG980">
        <v>-115.598088</v>
      </c>
      <c r="AH980">
        <v>15380708</v>
      </c>
      <c r="AI980">
        <f>17-68341</f>
        <v>-68324</v>
      </c>
    </row>
    <row r="981" spans="2:35">
      <c r="B981" t="s">
        <v>345</v>
      </c>
      <c r="C981" t="s">
        <v>1146</v>
      </c>
      <c r="D981" s="3">
        <v>42854.296527777777</v>
      </c>
      <c r="F981">
        <v>2017</v>
      </c>
      <c r="G981" t="s">
        <v>578</v>
      </c>
      <c r="H981" t="s">
        <v>352</v>
      </c>
      <c r="J981">
        <v>0</v>
      </c>
      <c r="L981">
        <v>1</v>
      </c>
      <c r="M981">
        <v>155</v>
      </c>
      <c r="N981">
        <v>36</v>
      </c>
      <c r="O981" t="s">
        <v>575</v>
      </c>
      <c r="Q981" t="s">
        <v>1152</v>
      </c>
      <c r="R981" t="s">
        <v>608</v>
      </c>
      <c r="U981">
        <v>5</v>
      </c>
      <c r="V981">
        <v>5</v>
      </c>
      <c r="W981" t="s">
        <v>350</v>
      </c>
      <c r="X981" t="s">
        <v>349</v>
      </c>
      <c r="Y981" t="s">
        <v>348</v>
      </c>
      <c r="Z981">
        <v>2017</v>
      </c>
      <c r="AB981">
        <v>12</v>
      </c>
      <c r="AC981">
        <v>5.59</v>
      </c>
      <c r="AE981" t="s">
        <v>346</v>
      </c>
      <c r="AF981">
        <v>46.142674</v>
      </c>
      <c r="AG981">
        <v>-115.598088</v>
      </c>
      <c r="AH981">
        <v>15380709</v>
      </c>
      <c r="AI981">
        <f>17-68342</f>
        <v>-68325</v>
      </c>
    </row>
    <row r="982" spans="2:35">
      <c r="B982" t="s">
        <v>345</v>
      </c>
      <c r="C982" t="s">
        <v>1146</v>
      </c>
      <c r="D982" s="3">
        <v>42854.296527777777</v>
      </c>
      <c r="F982">
        <v>2017</v>
      </c>
      <c r="G982" t="s">
        <v>574</v>
      </c>
      <c r="H982" t="s">
        <v>352</v>
      </c>
      <c r="J982">
        <v>0</v>
      </c>
      <c r="L982">
        <v>1</v>
      </c>
      <c r="M982">
        <v>95</v>
      </c>
      <c r="N982">
        <v>8</v>
      </c>
      <c r="O982" t="s">
        <v>575</v>
      </c>
      <c r="Q982" t="s">
        <v>576</v>
      </c>
      <c r="R982" t="s">
        <v>608</v>
      </c>
      <c r="U982">
        <v>5</v>
      </c>
      <c r="V982">
        <v>5</v>
      </c>
      <c r="W982" t="s">
        <v>350</v>
      </c>
      <c r="X982" t="s">
        <v>349</v>
      </c>
      <c r="Y982" t="s">
        <v>348</v>
      </c>
      <c r="Z982">
        <v>2017</v>
      </c>
      <c r="AB982">
        <v>12</v>
      </c>
      <c r="AC982">
        <v>5.59</v>
      </c>
      <c r="AE982" t="s">
        <v>346</v>
      </c>
      <c r="AF982">
        <v>46.142674</v>
      </c>
      <c r="AG982">
        <v>-115.598088</v>
      </c>
      <c r="AH982">
        <v>15380710</v>
      </c>
    </row>
    <row r="983" spans="2:35">
      <c r="B983" t="s">
        <v>345</v>
      </c>
      <c r="C983" t="s">
        <v>1146</v>
      </c>
      <c r="D983" s="3">
        <v>42854.296527777777</v>
      </c>
      <c r="F983">
        <v>2017</v>
      </c>
      <c r="G983" t="s">
        <v>578</v>
      </c>
      <c r="H983" t="s">
        <v>352</v>
      </c>
      <c r="J983">
        <v>0</v>
      </c>
      <c r="L983">
        <v>1</v>
      </c>
      <c r="M983">
        <v>161</v>
      </c>
      <c r="N983">
        <v>41</v>
      </c>
      <c r="O983" t="s">
        <v>575</v>
      </c>
      <c r="Q983" t="s">
        <v>1153</v>
      </c>
      <c r="R983" t="s">
        <v>608</v>
      </c>
      <c r="U983">
        <v>5</v>
      </c>
      <c r="V983">
        <v>5</v>
      </c>
      <c r="W983" t="s">
        <v>350</v>
      </c>
      <c r="X983" t="s">
        <v>349</v>
      </c>
      <c r="Y983" t="s">
        <v>348</v>
      </c>
      <c r="Z983">
        <v>2017</v>
      </c>
      <c r="AB983">
        <v>12</v>
      </c>
      <c r="AC983">
        <v>5.59</v>
      </c>
      <c r="AE983" t="s">
        <v>346</v>
      </c>
      <c r="AF983">
        <v>46.142674</v>
      </c>
      <c r="AG983">
        <v>-115.598088</v>
      </c>
      <c r="AH983">
        <v>15380711</v>
      </c>
      <c r="AI983">
        <f>17-68340</f>
        <v>-68323</v>
      </c>
    </row>
    <row r="984" spans="2:35">
      <c r="B984" t="s">
        <v>345</v>
      </c>
      <c r="C984" t="s">
        <v>1154</v>
      </c>
      <c r="D984" s="3">
        <v>43004.443055555559</v>
      </c>
      <c r="F984">
        <v>2017</v>
      </c>
      <c r="G984" t="s">
        <v>480</v>
      </c>
      <c r="H984" t="s">
        <v>352</v>
      </c>
      <c r="J984">
        <v>0</v>
      </c>
      <c r="L984">
        <v>1</v>
      </c>
      <c r="M984">
        <v>235</v>
      </c>
      <c r="N984">
        <v>112</v>
      </c>
      <c r="O984" t="s">
        <v>353</v>
      </c>
      <c r="R984" t="s">
        <v>603</v>
      </c>
      <c r="U984">
        <v>12.5</v>
      </c>
      <c r="V984">
        <v>12.5</v>
      </c>
      <c r="W984" t="s">
        <v>350</v>
      </c>
      <c r="X984" t="s">
        <v>349</v>
      </c>
      <c r="Y984" t="s">
        <v>348</v>
      </c>
      <c r="Z984">
        <v>2017</v>
      </c>
      <c r="AB984">
        <v>8</v>
      </c>
      <c r="AC984">
        <v>1.91</v>
      </c>
      <c r="AE984" t="s">
        <v>346</v>
      </c>
      <c r="AF984">
        <v>46.142674</v>
      </c>
      <c r="AG984">
        <v>-115.598088</v>
      </c>
      <c r="AH984">
        <v>15386098</v>
      </c>
    </row>
    <row r="985" spans="2:35">
      <c r="B985" t="s">
        <v>345</v>
      </c>
      <c r="C985" t="s">
        <v>1154</v>
      </c>
      <c r="D985" s="3">
        <v>43004.443055555559</v>
      </c>
      <c r="F985">
        <v>2017</v>
      </c>
      <c r="G985" t="s">
        <v>480</v>
      </c>
      <c r="H985" t="s">
        <v>352</v>
      </c>
      <c r="J985">
        <v>0</v>
      </c>
      <c r="L985">
        <v>1</v>
      </c>
      <c r="M985">
        <v>265</v>
      </c>
      <c r="N985">
        <v>164</v>
      </c>
      <c r="O985" t="s">
        <v>353</v>
      </c>
      <c r="R985" t="s">
        <v>603</v>
      </c>
      <c r="U985">
        <v>12.5</v>
      </c>
      <c r="V985">
        <v>12.5</v>
      </c>
      <c r="W985" t="s">
        <v>350</v>
      </c>
      <c r="X985" t="s">
        <v>349</v>
      </c>
      <c r="Y985" t="s">
        <v>348</v>
      </c>
      <c r="Z985">
        <v>2017</v>
      </c>
      <c r="AB985">
        <v>8</v>
      </c>
      <c r="AC985">
        <v>1.91</v>
      </c>
      <c r="AE985" t="s">
        <v>346</v>
      </c>
      <c r="AF985">
        <v>46.142674</v>
      </c>
      <c r="AG985">
        <v>-115.598088</v>
      </c>
      <c r="AH985">
        <v>15386099</v>
      </c>
    </row>
    <row r="986" spans="2:35">
      <c r="B986" t="s">
        <v>345</v>
      </c>
      <c r="C986" t="s">
        <v>1154</v>
      </c>
      <c r="D986" s="3">
        <v>43004.443055555559</v>
      </c>
      <c r="F986">
        <v>2017</v>
      </c>
      <c r="G986" t="s">
        <v>482</v>
      </c>
      <c r="H986" t="s">
        <v>352</v>
      </c>
      <c r="J986">
        <v>0</v>
      </c>
      <c r="L986">
        <v>1</v>
      </c>
      <c r="M986">
        <v>207</v>
      </c>
      <c r="N986">
        <v>101</v>
      </c>
      <c r="O986" t="s">
        <v>353</v>
      </c>
      <c r="R986" t="s">
        <v>603</v>
      </c>
      <c r="U986">
        <v>12.5</v>
      </c>
      <c r="V986">
        <v>12.5</v>
      </c>
      <c r="W986" t="s">
        <v>350</v>
      </c>
      <c r="X986" t="s">
        <v>349</v>
      </c>
      <c r="Y986" t="s">
        <v>348</v>
      </c>
      <c r="Z986">
        <v>2017</v>
      </c>
      <c r="AB986">
        <v>8</v>
      </c>
      <c r="AC986">
        <v>1.91</v>
      </c>
      <c r="AE986" t="s">
        <v>346</v>
      </c>
      <c r="AF986">
        <v>46.142674</v>
      </c>
      <c r="AG986">
        <v>-115.598088</v>
      </c>
      <c r="AH986">
        <v>15386100</v>
      </c>
    </row>
    <row r="987" spans="2:35">
      <c r="B987" t="s">
        <v>345</v>
      </c>
      <c r="C987" t="s">
        <v>1154</v>
      </c>
      <c r="D987" s="3">
        <v>43004.443055555559</v>
      </c>
      <c r="F987">
        <v>2017</v>
      </c>
      <c r="G987" t="s">
        <v>480</v>
      </c>
      <c r="H987" t="s">
        <v>352</v>
      </c>
      <c r="J987">
        <v>0</v>
      </c>
      <c r="L987">
        <v>1</v>
      </c>
      <c r="M987">
        <v>260</v>
      </c>
      <c r="N987">
        <v>172</v>
      </c>
      <c r="O987" t="s">
        <v>353</v>
      </c>
      <c r="R987" t="s">
        <v>603</v>
      </c>
      <c r="U987">
        <v>12.5</v>
      </c>
      <c r="V987">
        <v>12.5</v>
      </c>
      <c r="W987" t="s">
        <v>350</v>
      </c>
      <c r="X987" t="s">
        <v>349</v>
      </c>
      <c r="Y987" t="s">
        <v>348</v>
      </c>
      <c r="Z987">
        <v>2017</v>
      </c>
      <c r="AB987">
        <v>8</v>
      </c>
      <c r="AC987">
        <v>1.91</v>
      </c>
      <c r="AE987" t="s">
        <v>346</v>
      </c>
      <c r="AF987">
        <v>46.142674</v>
      </c>
      <c r="AG987">
        <v>-115.598088</v>
      </c>
      <c r="AH987">
        <v>15386101</v>
      </c>
    </row>
    <row r="988" spans="2:35">
      <c r="B988" t="s">
        <v>345</v>
      </c>
      <c r="C988" t="s">
        <v>1154</v>
      </c>
      <c r="D988" s="3">
        <v>43004.443055555559</v>
      </c>
      <c r="F988">
        <v>2017</v>
      </c>
      <c r="G988" t="s">
        <v>482</v>
      </c>
      <c r="H988" t="s">
        <v>352</v>
      </c>
      <c r="J988">
        <v>0</v>
      </c>
      <c r="L988">
        <v>1</v>
      </c>
      <c r="M988">
        <v>195</v>
      </c>
      <c r="N988">
        <v>81</v>
      </c>
      <c r="O988" t="s">
        <v>353</v>
      </c>
      <c r="R988" t="s">
        <v>603</v>
      </c>
      <c r="U988">
        <v>12.5</v>
      </c>
      <c r="V988">
        <v>12.5</v>
      </c>
      <c r="W988" t="s">
        <v>350</v>
      </c>
      <c r="X988" t="s">
        <v>349</v>
      </c>
      <c r="Y988" t="s">
        <v>348</v>
      </c>
      <c r="Z988">
        <v>2017</v>
      </c>
      <c r="AB988">
        <v>8</v>
      </c>
      <c r="AC988">
        <v>1.91</v>
      </c>
      <c r="AE988" t="s">
        <v>346</v>
      </c>
      <c r="AF988">
        <v>46.142674</v>
      </c>
      <c r="AG988">
        <v>-115.598088</v>
      </c>
      <c r="AH988">
        <v>15386102</v>
      </c>
    </row>
    <row r="989" spans="2:35">
      <c r="B989" t="s">
        <v>345</v>
      </c>
      <c r="C989" t="s">
        <v>1154</v>
      </c>
      <c r="D989" s="3">
        <v>43004.443055555559</v>
      </c>
      <c r="F989">
        <v>2017</v>
      </c>
      <c r="G989" t="s">
        <v>605</v>
      </c>
      <c r="H989" t="s">
        <v>352</v>
      </c>
      <c r="J989">
        <v>0</v>
      </c>
      <c r="L989">
        <v>15</v>
      </c>
      <c r="M989">
        <v>0</v>
      </c>
      <c r="N989">
        <v>0</v>
      </c>
      <c r="O989" t="s">
        <v>606</v>
      </c>
      <c r="R989" t="s">
        <v>603</v>
      </c>
      <c r="U989">
        <v>12.5</v>
      </c>
      <c r="V989">
        <v>12.5</v>
      </c>
      <c r="W989" t="s">
        <v>350</v>
      </c>
      <c r="X989" t="s">
        <v>349</v>
      </c>
      <c r="Y989" t="s">
        <v>348</v>
      </c>
      <c r="Z989">
        <v>2017</v>
      </c>
      <c r="AB989">
        <v>8</v>
      </c>
      <c r="AC989">
        <v>1.91</v>
      </c>
      <c r="AE989" t="s">
        <v>346</v>
      </c>
      <c r="AF989">
        <v>46.142674</v>
      </c>
      <c r="AG989">
        <v>-115.598088</v>
      </c>
      <c r="AH989">
        <v>15386103</v>
      </c>
    </row>
    <row r="990" spans="2:35">
      <c r="B990" t="s">
        <v>345</v>
      </c>
      <c r="C990" t="s">
        <v>1154</v>
      </c>
      <c r="D990" s="3">
        <v>43004.443055555559</v>
      </c>
      <c r="F990">
        <v>2017</v>
      </c>
      <c r="G990" t="s">
        <v>602</v>
      </c>
      <c r="H990" t="s">
        <v>352</v>
      </c>
      <c r="J990">
        <v>0</v>
      </c>
      <c r="L990">
        <v>1</v>
      </c>
      <c r="M990">
        <v>192</v>
      </c>
      <c r="N990">
        <v>83</v>
      </c>
      <c r="O990" t="s">
        <v>353</v>
      </c>
      <c r="R990" t="s">
        <v>603</v>
      </c>
      <c r="U990">
        <v>12.5</v>
      </c>
      <c r="V990">
        <v>12.5</v>
      </c>
      <c r="W990" t="s">
        <v>350</v>
      </c>
      <c r="X990" t="s">
        <v>349</v>
      </c>
      <c r="Y990" t="s">
        <v>348</v>
      </c>
      <c r="Z990">
        <v>2017</v>
      </c>
      <c r="AB990">
        <v>8</v>
      </c>
      <c r="AC990">
        <v>1.91</v>
      </c>
      <c r="AE990" t="s">
        <v>346</v>
      </c>
      <c r="AF990">
        <v>46.142674</v>
      </c>
      <c r="AG990">
        <v>-115.598088</v>
      </c>
      <c r="AH990">
        <v>15386104</v>
      </c>
    </row>
    <row r="991" spans="2:35">
      <c r="B991" t="s">
        <v>345</v>
      </c>
      <c r="C991" t="s">
        <v>1154</v>
      </c>
      <c r="D991" s="3">
        <v>43004.443055555559</v>
      </c>
      <c r="F991">
        <v>2017</v>
      </c>
      <c r="G991" t="s">
        <v>480</v>
      </c>
      <c r="H991" t="s">
        <v>352</v>
      </c>
      <c r="J991">
        <v>0</v>
      </c>
      <c r="L991">
        <v>1</v>
      </c>
      <c r="M991">
        <v>253</v>
      </c>
      <c r="N991">
        <v>126</v>
      </c>
      <c r="O991" t="s">
        <v>353</v>
      </c>
      <c r="R991" t="s">
        <v>603</v>
      </c>
      <c r="U991">
        <v>12.5</v>
      </c>
      <c r="V991">
        <v>12.5</v>
      </c>
      <c r="W991" t="s">
        <v>350</v>
      </c>
      <c r="X991" t="s">
        <v>349</v>
      </c>
      <c r="Y991" t="s">
        <v>348</v>
      </c>
      <c r="Z991">
        <v>2017</v>
      </c>
      <c r="AB991">
        <v>8</v>
      </c>
      <c r="AC991">
        <v>1.91</v>
      </c>
      <c r="AE991" t="s">
        <v>346</v>
      </c>
      <c r="AF991">
        <v>46.142674</v>
      </c>
      <c r="AG991">
        <v>-115.598088</v>
      </c>
      <c r="AH991">
        <v>15386105</v>
      </c>
    </row>
    <row r="992" spans="2:35">
      <c r="B992" t="s">
        <v>345</v>
      </c>
      <c r="C992" t="s">
        <v>1154</v>
      </c>
      <c r="D992" s="3">
        <v>43004.443055555559</v>
      </c>
      <c r="F992">
        <v>2017</v>
      </c>
      <c r="G992" t="s">
        <v>578</v>
      </c>
      <c r="H992" t="s">
        <v>352</v>
      </c>
      <c r="J992">
        <v>0</v>
      </c>
      <c r="L992">
        <v>1</v>
      </c>
      <c r="M992">
        <v>116</v>
      </c>
      <c r="N992">
        <v>15</v>
      </c>
      <c r="O992" t="s">
        <v>575</v>
      </c>
      <c r="Q992" t="s">
        <v>1155</v>
      </c>
      <c r="R992" t="s">
        <v>603</v>
      </c>
      <c r="U992">
        <v>12.5</v>
      </c>
      <c r="V992">
        <v>12.5</v>
      </c>
      <c r="W992" t="s">
        <v>350</v>
      </c>
      <c r="X992" t="s">
        <v>349</v>
      </c>
      <c r="Y992" t="s">
        <v>348</v>
      </c>
      <c r="Z992">
        <v>2017</v>
      </c>
      <c r="AB992">
        <v>8</v>
      </c>
      <c r="AC992">
        <v>1.91</v>
      </c>
      <c r="AE992" t="s">
        <v>346</v>
      </c>
      <c r="AF992">
        <v>46.142674</v>
      </c>
      <c r="AG992">
        <v>-115.598088</v>
      </c>
      <c r="AH992">
        <v>15386106</v>
      </c>
      <c r="AI992">
        <f>17-76569</f>
        <v>-76552</v>
      </c>
    </row>
    <row r="993" spans="2:34">
      <c r="B993" t="s">
        <v>345</v>
      </c>
      <c r="C993" t="s">
        <v>1154</v>
      </c>
      <c r="D993" s="3">
        <v>43004.443055555559</v>
      </c>
      <c r="F993">
        <v>2017</v>
      </c>
      <c r="G993" t="s">
        <v>480</v>
      </c>
      <c r="H993" t="s">
        <v>352</v>
      </c>
      <c r="J993">
        <v>0</v>
      </c>
      <c r="L993">
        <v>1</v>
      </c>
      <c r="M993">
        <v>270</v>
      </c>
      <c r="N993">
        <v>174</v>
      </c>
      <c r="O993" t="s">
        <v>353</v>
      </c>
      <c r="R993" t="s">
        <v>603</v>
      </c>
      <c r="U993">
        <v>12.5</v>
      </c>
      <c r="V993">
        <v>12.5</v>
      </c>
      <c r="W993" t="s">
        <v>350</v>
      </c>
      <c r="X993" t="s">
        <v>349</v>
      </c>
      <c r="Y993" t="s">
        <v>348</v>
      </c>
      <c r="Z993">
        <v>2017</v>
      </c>
      <c r="AB993">
        <v>8</v>
      </c>
      <c r="AC993">
        <v>1.91</v>
      </c>
      <c r="AE993" t="s">
        <v>346</v>
      </c>
      <c r="AF993">
        <v>46.142674</v>
      </c>
      <c r="AG993">
        <v>-115.598088</v>
      </c>
      <c r="AH993">
        <v>15386107</v>
      </c>
    </row>
    <row r="994" spans="2:34">
      <c r="B994" t="s">
        <v>345</v>
      </c>
      <c r="C994" t="s">
        <v>1154</v>
      </c>
      <c r="D994" s="3">
        <v>43004.443055555559</v>
      </c>
      <c r="F994">
        <v>2017</v>
      </c>
      <c r="G994" t="s">
        <v>482</v>
      </c>
      <c r="H994" t="s">
        <v>352</v>
      </c>
      <c r="J994">
        <v>0</v>
      </c>
      <c r="L994">
        <v>1</v>
      </c>
      <c r="M994">
        <v>128</v>
      </c>
      <c r="N994">
        <v>126</v>
      </c>
      <c r="O994" t="s">
        <v>353</v>
      </c>
      <c r="R994" t="s">
        <v>603</v>
      </c>
      <c r="U994">
        <v>12.5</v>
      </c>
      <c r="V994">
        <v>12.5</v>
      </c>
      <c r="W994" t="s">
        <v>350</v>
      </c>
      <c r="X994" t="s">
        <v>349</v>
      </c>
      <c r="Y994" t="s">
        <v>348</v>
      </c>
      <c r="Z994">
        <v>2017</v>
      </c>
      <c r="AB994">
        <v>8</v>
      </c>
      <c r="AC994">
        <v>1.91</v>
      </c>
      <c r="AE994" t="s">
        <v>346</v>
      </c>
      <c r="AF994">
        <v>46.142674</v>
      </c>
      <c r="AG994">
        <v>-115.598088</v>
      </c>
      <c r="AH994">
        <v>15386108</v>
      </c>
    </row>
    <row r="995" spans="2:34">
      <c r="B995" t="s">
        <v>345</v>
      </c>
      <c r="C995" t="s">
        <v>1154</v>
      </c>
      <c r="D995" s="3">
        <v>43004.443055555559</v>
      </c>
      <c r="F995">
        <v>2017</v>
      </c>
      <c r="G995" t="s">
        <v>602</v>
      </c>
      <c r="H995" t="s">
        <v>352</v>
      </c>
      <c r="J995">
        <v>0</v>
      </c>
      <c r="L995">
        <v>1</v>
      </c>
      <c r="M995">
        <v>225</v>
      </c>
      <c r="N995">
        <v>140</v>
      </c>
      <c r="O995" t="s">
        <v>353</v>
      </c>
      <c r="R995" t="s">
        <v>603</v>
      </c>
      <c r="U995">
        <v>12.5</v>
      </c>
      <c r="V995">
        <v>12.5</v>
      </c>
      <c r="W995" t="s">
        <v>350</v>
      </c>
      <c r="X995" t="s">
        <v>349</v>
      </c>
      <c r="Y995" t="s">
        <v>348</v>
      </c>
      <c r="Z995">
        <v>2017</v>
      </c>
      <c r="AB995">
        <v>8</v>
      </c>
      <c r="AC995">
        <v>1.91</v>
      </c>
      <c r="AE995" t="s">
        <v>346</v>
      </c>
      <c r="AF995">
        <v>46.142674</v>
      </c>
      <c r="AG995">
        <v>-115.598088</v>
      </c>
      <c r="AH995">
        <v>15386109</v>
      </c>
    </row>
    <row r="996" spans="2:34">
      <c r="B996" t="s">
        <v>345</v>
      </c>
      <c r="C996" t="s">
        <v>1156</v>
      </c>
      <c r="D996" s="3">
        <v>42996.5</v>
      </c>
      <c r="F996">
        <v>2017</v>
      </c>
      <c r="G996" t="s">
        <v>605</v>
      </c>
      <c r="H996" t="s">
        <v>352</v>
      </c>
      <c r="J996">
        <v>0</v>
      </c>
      <c r="L996">
        <v>1</v>
      </c>
      <c r="M996">
        <v>27</v>
      </c>
      <c r="N996">
        <v>0</v>
      </c>
      <c r="O996" t="s">
        <v>353</v>
      </c>
      <c r="R996" t="s">
        <v>751</v>
      </c>
      <c r="U996">
        <v>13</v>
      </c>
      <c r="V996">
        <v>13</v>
      </c>
      <c r="W996" t="s">
        <v>350</v>
      </c>
      <c r="X996" t="s">
        <v>349</v>
      </c>
      <c r="Y996" t="s">
        <v>642</v>
      </c>
      <c r="Z996">
        <v>2017</v>
      </c>
      <c r="AB996">
        <v>6</v>
      </c>
      <c r="AC996">
        <v>1.79</v>
      </c>
      <c r="AE996" t="s">
        <v>346</v>
      </c>
      <c r="AF996">
        <v>46.142674</v>
      </c>
      <c r="AG996">
        <v>-115.598088</v>
      </c>
      <c r="AH996">
        <v>15413235</v>
      </c>
    </row>
    <row r="997" spans="2:34">
      <c r="B997" t="s">
        <v>345</v>
      </c>
      <c r="C997" t="s">
        <v>1156</v>
      </c>
      <c r="D997" s="3">
        <v>42996.5</v>
      </c>
      <c r="F997">
        <v>2017</v>
      </c>
      <c r="G997" t="s">
        <v>605</v>
      </c>
      <c r="H997" t="s">
        <v>352</v>
      </c>
      <c r="J997">
        <v>0</v>
      </c>
      <c r="L997">
        <v>1</v>
      </c>
      <c r="M997">
        <v>37</v>
      </c>
      <c r="N997">
        <v>1</v>
      </c>
      <c r="O997" t="s">
        <v>353</v>
      </c>
      <c r="R997" t="s">
        <v>751</v>
      </c>
      <c r="U997">
        <v>13</v>
      </c>
      <c r="V997">
        <v>13</v>
      </c>
      <c r="W997" t="s">
        <v>350</v>
      </c>
      <c r="X997" t="s">
        <v>349</v>
      </c>
      <c r="Y997" t="s">
        <v>642</v>
      </c>
      <c r="Z997">
        <v>2017</v>
      </c>
      <c r="AB997">
        <v>6</v>
      </c>
      <c r="AC997">
        <v>1.79</v>
      </c>
      <c r="AE997" t="s">
        <v>346</v>
      </c>
      <c r="AF997">
        <v>46.142674</v>
      </c>
      <c r="AG997">
        <v>-115.598088</v>
      </c>
      <c r="AH997">
        <v>15413236</v>
      </c>
    </row>
    <row r="998" spans="2:34">
      <c r="B998" t="s">
        <v>345</v>
      </c>
      <c r="C998" t="s">
        <v>1156</v>
      </c>
      <c r="D998" s="3">
        <v>42996.5</v>
      </c>
      <c r="F998">
        <v>2017</v>
      </c>
      <c r="G998" t="s">
        <v>605</v>
      </c>
      <c r="H998" t="s">
        <v>352</v>
      </c>
      <c r="J998">
        <v>0</v>
      </c>
      <c r="L998">
        <v>1</v>
      </c>
      <c r="M998">
        <v>27</v>
      </c>
      <c r="N998">
        <v>0</v>
      </c>
      <c r="O998" t="s">
        <v>353</v>
      </c>
      <c r="R998" t="s">
        <v>751</v>
      </c>
      <c r="U998">
        <v>13</v>
      </c>
      <c r="V998">
        <v>13</v>
      </c>
      <c r="W998" t="s">
        <v>350</v>
      </c>
      <c r="X998" t="s">
        <v>349</v>
      </c>
      <c r="Y998" t="s">
        <v>642</v>
      </c>
      <c r="Z998">
        <v>2017</v>
      </c>
      <c r="AB998">
        <v>6</v>
      </c>
      <c r="AC998">
        <v>1.79</v>
      </c>
      <c r="AE998" t="s">
        <v>346</v>
      </c>
      <c r="AF998">
        <v>46.142674</v>
      </c>
      <c r="AG998">
        <v>-115.598088</v>
      </c>
      <c r="AH998">
        <v>15413237</v>
      </c>
    </row>
    <row r="999" spans="2:34">
      <c r="B999" t="s">
        <v>345</v>
      </c>
      <c r="C999" t="s">
        <v>1156</v>
      </c>
      <c r="D999" s="3">
        <v>42996.5</v>
      </c>
      <c r="F999">
        <v>2017</v>
      </c>
      <c r="G999" t="s">
        <v>605</v>
      </c>
      <c r="H999" t="s">
        <v>352</v>
      </c>
      <c r="J999">
        <v>0</v>
      </c>
      <c r="L999">
        <v>1</v>
      </c>
      <c r="M999">
        <v>35</v>
      </c>
      <c r="N999">
        <v>1</v>
      </c>
      <c r="O999" t="s">
        <v>353</v>
      </c>
      <c r="R999" t="s">
        <v>751</v>
      </c>
      <c r="U999">
        <v>13</v>
      </c>
      <c r="V999">
        <v>13</v>
      </c>
      <c r="W999" t="s">
        <v>350</v>
      </c>
      <c r="X999" t="s">
        <v>349</v>
      </c>
      <c r="Y999" t="s">
        <v>642</v>
      </c>
      <c r="Z999">
        <v>2017</v>
      </c>
      <c r="AB999">
        <v>6</v>
      </c>
      <c r="AC999">
        <v>1.79</v>
      </c>
      <c r="AE999" t="s">
        <v>346</v>
      </c>
      <c r="AF999">
        <v>46.142674</v>
      </c>
      <c r="AG999">
        <v>-115.598088</v>
      </c>
      <c r="AH999">
        <v>15413238</v>
      </c>
    </row>
    <row r="1000" spans="2:34">
      <c r="B1000" t="s">
        <v>345</v>
      </c>
      <c r="C1000" t="s">
        <v>1156</v>
      </c>
      <c r="D1000" s="3">
        <v>42996.5</v>
      </c>
      <c r="F1000">
        <v>2017</v>
      </c>
      <c r="G1000" t="s">
        <v>605</v>
      </c>
      <c r="H1000" t="s">
        <v>352</v>
      </c>
      <c r="J1000">
        <v>0</v>
      </c>
      <c r="L1000">
        <v>1</v>
      </c>
      <c r="M1000">
        <v>31</v>
      </c>
      <c r="N1000">
        <v>0</v>
      </c>
      <c r="O1000" t="s">
        <v>353</v>
      </c>
      <c r="R1000" t="s">
        <v>751</v>
      </c>
      <c r="U1000">
        <v>13</v>
      </c>
      <c r="V1000">
        <v>13</v>
      </c>
      <c r="W1000" t="s">
        <v>350</v>
      </c>
      <c r="X1000" t="s">
        <v>349</v>
      </c>
      <c r="Y1000" t="s">
        <v>642</v>
      </c>
      <c r="Z1000">
        <v>2017</v>
      </c>
      <c r="AB1000">
        <v>6</v>
      </c>
      <c r="AC1000">
        <v>1.79</v>
      </c>
      <c r="AE1000" t="s">
        <v>346</v>
      </c>
      <c r="AF1000">
        <v>46.142674</v>
      </c>
      <c r="AG1000">
        <v>-115.598088</v>
      </c>
      <c r="AH1000">
        <v>15413239</v>
      </c>
    </row>
    <row r="1001" spans="2:34">
      <c r="B1001" t="s">
        <v>345</v>
      </c>
      <c r="C1001" t="s">
        <v>1156</v>
      </c>
      <c r="D1001" s="3">
        <v>42996.5</v>
      </c>
      <c r="F1001">
        <v>2017</v>
      </c>
      <c r="G1001" t="s">
        <v>605</v>
      </c>
      <c r="H1001" t="s">
        <v>352</v>
      </c>
      <c r="J1001">
        <v>0</v>
      </c>
      <c r="L1001">
        <v>1</v>
      </c>
      <c r="M1001">
        <v>27</v>
      </c>
      <c r="N1001">
        <v>0</v>
      </c>
      <c r="O1001" t="s">
        <v>353</v>
      </c>
      <c r="R1001" t="s">
        <v>751</v>
      </c>
      <c r="U1001">
        <v>13</v>
      </c>
      <c r="V1001">
        <v>13</v>
      </c>
      <c r="W1001" t="s">
        <v>350</v>
      </c>
      <c r="X1001" t="s">
        <v>349</v>
      </c>
      <c r="Y1001" t="s">
        <v>642</v>
      </c>
      <c r="Z1001">
        <v>2017</v>
      </c>
      <c r="AB1001">
        <v>6</v>
      </c>
      <c r="AC1001">
        <v>1.79</v>
      </c>
      <c r="AE1001" t="s">
        <v>346</v>
      </c>
      <c r="AF1001">
        <v>46.142674</v>
      </c>
      <c r="AG1001">
        <v>-115.598088</v>
      </c>
      <c r="AH1001">
        <v>15413240</v>
      </c>
    </row>
    <row r="1002" spans="2:34">
      <c r="B1002" t="s">
        <v>345</v>
      </c>
      <c r="C1002" t="s">
        <v>1156</v>
      </c>
      <c r="D1002" s="3">
        <v>42996.5</v>
      </c>
      <c r="F1002">
        <v>2017</v>
      </c>
      <c r="G1002" t="s">
        <v>605</v>
      </c>
      <c r="H1002" t="s">
        <v>352</v>
      </c>
      <c r="J1002">
        <v>0</v>
      </c>
      <c r="L1002">
        <v>1</v>
      </c>
      <c r="M1002">
        <v>32</v>
      </c>
      <c r="N1002">
        <v>0</v>
      </c>
      <c r="O1002" t="s">
        <v>353</v>
      </c>
      <c r="R1002" t="s">
        <v>751</v>
      </c>
      <c r="U1002">
        <v>13</v>
      </c>
      <c r="V1002">
        <v>13</v>
      </c>
      <c r="W1002" t="s">
        <v>350</v>
      </c>
      <c r="X1002" t="s">
        <v>349</v>
      </c>
      <c r="Y1002" t="s">
        <v>642</v>
      </c>
      <c r="Z1002">
        <v>2017</v>
      </c>
      <c r="AB1002">
        <v>6</v>
      </c>
      <c r="AC1002">
        <v>1.79</v>
      </c>
      <c r="AE1002" t="s">
        <v>346</v>
      </c>
      <c r="AF1002">
        <v>46.142674</v>
      </c>
      <c r="AG1002">
        <v>-115.598088</v>
      </c>
      <c r="AH1002">
        <v>15413241</v>
      </c>
    </row>
    <row r="1003" spans="2:34">
      <c r="B1003" t="s">
        <v>345</v>
      </c>
      <c r="C1003" t="s">
        <v>1156</v>
      </c>
      <c r="D1003" s="3">
        <v>42996.5</v>
      </c>
      <c r="F1003">
        <v>2017</v>
      </c>
      <c r="G1003" t="s">
        <v>615</v>
      </c>
      <c r="H1003" t="s">
        <v>352</v>
      </c>
      <c r="J1003">
        <v>0</v>
      </c>
      <c r="L1003">
        <v>1</v>
      </c>
      <c r="M1003">
        <v>196</v>
      </c>
      <c r="N1003">
        <v>78</v>
      </c>
      <c r="O1003" t="s">
        <v>353</v>
      </c>
      <c r="R1003" t="s">
        <v>751</v>
      </c>
      <c r="U1003">
        <v>13</v>
      </c>
      <c r="V1003">
        <v>13</v>
      </c>
      <c r="W1003" t="s">
        <v>350</v>
      </c>
      <c r="X1003" t="s">
        <v>349</v>
      </c>
      <c r="Y1003" t="s">
        <v>642</v>
      </c>
      <c r="Z1003">
        <v>2017</v>
      </c>
      <c r="AB1003">
        <v>6</v>
      </c>
      <c r="AC1003">
        <v>1.79</v>
      </c>
      <c r="AE1003" t="s">
        <v>346</v>
      </c>
      <c r="AF1003">
        <v>46.142674</v>
      </c>
      <c r="AG1003">
        <v>-115.598088</v>
      </c>
      <c r="AH1003">
        <v>15413242</v>
      </c>
    </row>
    <row r="1004" spans="2:34">
      <c r="B1004" t="s">
        <v>345</v>
      </c>
      <c r="C1004" t="s">
        <v>1025</v>
      </c>
      <c r="D1004" s="3">
        <v>42969.368055555555</v>
      </c>
      <c r="F1004">
        <v>2017</v>
      </c>
      <c r="G1004" t="s">
        <v>480</v>
      </c>
      <c r="H1004" t="s">
        <v>352</v>
      </c>
      <c r="J1004">
        <v>0</v>
      </c>
      <c r="L1004">
        <v>1</v>
      </c>
      <c r="M1004">
        <v>0</v>
      </c>
      <c r="N1004">
        <v>0</v>
      </c>
      <c r="O1004" t="s">
        <v>643</v>
      </c>
      <c r="R1004" t="s">
        <v>647</v>
      </c>
      <c r="U1004">
        <v>25</v>
      </c>
      <c r="V1004">
        <v>25</v>
      </c>
      <c r="W1004" t="s">
        <v>350</v>
      </c>
      <c r="X1004" t="s">
        <v>349</v>
      </c>
      <c r="Y1004" t="s">
        <v>642</v>
      </c>
      <c r="Z1004">
        <v>2017</v>
      </c>
      <c r="AB1004">
        <v>6</v>
      </c>
      <c r="AC1004">
        <v>1.91</v>
      </c>
      <c r="AE1004" t="s">
        <v>346</v>
      </c>
      <c r="AF1004">
        <v>46.142674</v>
      </c>
      <c r="AG1004">
        <v>-115.598088</v>
      </c>
      <c r="AH1004">
        <v>15109936</v>
      </c>
    </row>
    <row r="1005" spans="2:34">
      <c r="B1005" t="s">
        <v>345</v>
      </c>
      <c r="C1005" t="s">
        <v>1025</v>
      </c>
      <c r="D1005" s="3">
        <v>42969.368055555555</v>
      </c>
      <c r="F1005">
        <v>2017</v>
      </c>
      <c r="G1005" t="s">
        <v>611</v>
      </c>
      <c r="H1005" t="s">
        <v>352</v>
      </c>
      <c r="J1005">
        <v>0</v>
      </c>
      <c r="L1005">
        <v>1</v>
      </c>
      <c r="M1005">
        <v>0</v>
      </c>
      <c r="N1005">
        <v>0</v>
      </c>
      <c r="O1005" t="s">
        <v>643</v>
      </c>
      <c r="R1005" t="s">
        <v>647</v>
      </c>
      <c r="U1005">
        <v>25</v>
      </c>
      <c r="V1005">
        <v>25</v>
      </c>
      <c r="W1005" t="s">
        <v>350</v>
      </c>
      <c r="X1005" t="s">
        <v>349</v>
      </c>
      <c r="Y1005" t="s">
        <v>642</v>
      </c>
      <c r="Z1005">
        <v>2017</v>
      </c>
      <c r="AB1005">
        <v>6</v>
      </c>
      <c r="AC1005">
        <v>1.91</v>
      </c>
      <c r="AE1005" t="s">
        <v>346</v>
      </c>
      <c r="AF1005">
        <v>46.142674</v>
      </c>
      <c r="AG1005">
        <v>-115.598088</v>
      </c>
      <c r="AH1005">
        <v>15109937</v>
      </c>
    </row>
    <row r="1006" spans="2:34">
      <c r="B1006" t="s">
        <v>345</v>
      </c>
      <c r="C1006" t="s">
        <v>1157</v>
      </c>
      <c r="D1006" s="3">
        <v>42986.668055555558</v>
      </c>
      <c r="F1006">
        <v>2017</v>
      </c>
      <c r="G1006" t="s">
        <v>605</v>
      </c>
      <c r="H1006" t="s">
        <v>352</v>
      </c>
      <c r="J1006">
        <v>0</v>
      </c>
      <c r="L1006">
        <v>35</v>
      </c>
      <c r="M1006">
        <v>0</v>
      </c>
      <c r="N1006">
        <v>0</v>
      </c>
      <c r="O1006" t="s">
        <v>606</v>
      </c>
      <c r="R1006" t="s">
        <v>603</v>
      </c>
      <c r="U1006">
        <v>25</v>
      </c>
      <c r="V1006">
        <v>25</v>
      </c>
      <c r="W1006" t="s">
        <v>350</v>
      </c>
      <c r="X1006" t="s">
        <v>349</v>
      </c>
      <c r="Y1006" t="s">
        <v>348</v>
      </c>
      <c r="Z1006">
        <v>2017</v>
      </c>
      <c r="AB1006">
        <v>4</v>
      </c>
      <c r="AC1006">
        <v>1.75</v>
      </c>
      <c r="AE1006" t="s">
        <v>346</v>
      </c>
      <c r="AF1006">
        <v>46.142674</v>
      </c>
      <c r="AG1006">
        <v>-115.598088</v>
      </c>
      <c r="AH1006">
        <v>15112683</v>
      </c>
    </row>
    <row r="1007" spans="2:34">
      <c r="B1007" t="s">
        <v>345</v>
      </c>
      <c r="C1007" t="s">
        <v>1158</v>
      </c>
      <c r="D1007" s="3">
        <v>42935.354166666664</v>
      </c>
      <c r="F1007">
        <v>2017</v>
      </c>
      <c r="G1007" t="s">
        <v>602</v>
      </c>
      <c r="H1007" t="s">
        <v>352</v>
      </c>
      <c r="J1007">
        <v>0</v>
      </c>
      <c r="L1007">
        <v>7</v>
      </c>
      <c r="O1007" t="s">
        <v>643</v>
      </c>
      <c r="U1007">
        <v>25</v>
      </c>
      <c r="V1007">
        <v>17</v>
      </c>
      <c r="W1007" t="s">
        <v>350</v>
      </c>
      <c r="X1007" t="s">
        <v>349</v>
      </c>
      <c r="Y1007" t="s">
        <v>813</v>
      </c>
      <c r="Z1007">
        <v>2017</v>
      </c>
      <c r="AB1007">
        <v>10</v>
      </c>
      <c r="AC1007">
        <v>2.5499999999999998</v>
      </c>
      <c r="AE1007" t="s">
        <v>346</v>
      </c>
      <c r="AF1007">
        <v>46.142674</v>
      </c>
      <c r="AG1007">
        <v>-115.598088</v>
      </c>
      <c r="AH1007">
        <v>15113025</v>
      </c>
    </row>
    <row r="1008" spans="2:34">
      <c r="B1008" t="s">
        <v>345</v>
      </c>
      <c r="C1008" t="s">
        <v>1158</v>
      </c>
      <c r="D1008" s="3">
        <v>42935.354166666664</v>
      </c>
      <c r="F1008">
        <v>2017</v>
      </c>
      <c r="G1008" t="s">
        <v>574</v>
      </c>
      <c r="H1008" t="s">
        <v>352</v>
      </c>
      <c r="J1008">
        <v>0</v>
      </c>
      <c r="L1008">
        <v>2</v>
      </c>
      <c r="M1008">
        <v>0</v>
      </c>
      <c r="N1008">
        <v>0</v>
      </c>
      <c r="O1008" t="s">
        <v>609</v>
      </c>
      <c r="U1008">
        <v>25</v>
      </c>
      <c r="V1008">
        <v>17</v>
      </c>
      <c r="W1008" t="s">
        <v>350</v>
      </c>
      <c r="X1008" t="s">
        <v>349</v>
      </c>
      <c r="Y1008" t="s">
        <v>813</v>
      </c>
      <c r="Z1008">
        <v>2017</v>
      </c>
      <c r="AB1008">
        <v>10</v>
      </c>
      <c r="AC1008">
        <v>2.5499999999999998</v>
      </c>
      <c r="AE1008" t="s">
        <v>346</v>
      </c>
      <c r="AF1008">
        <v>46.142674</v>
      </c>
      <c r="AG1008">
        <v>-115.598088</v>
      </c>
      <c r="AH1008">
        <v>15113026</v>
      </c>
    </row>
    <row r="1009" spans="2:35">
      <c r="B1009" t="s">
        <v>345</v>
      </c>
      <c r="C1009" t="s">
        <v>1158</v>
      </c>
      <c r="D1009" s="3">
        <v>42935.354166666664</v>
      </c>
      <c r="F1009">
        <v>2017</v>
      </c>
      <c r="G1009" t="s">
        <v>611</v>
      </c>
      <c r="H1009" t="s">
        <v>352</v>
      </c>
      <c r="J1009">
        <v>0</v>
      </c>
      <c r="L1009">
        <v>3</v>
      </c>
      <c r="O1009" t="s">
        <v>643</v>
      </c>
      <c r="U1009">
        <v>25</v>
      </c>
      <c r="V1009">
        <v>17</v>
      </c>
      <c r="W1009" t="s">
        <v>350</v>
      </c>
      <c r="X1009" t="s">
        <v>349</v>
      </c>
      <c r="Y1009" t="s">
        <v>813</v>
      </c>
      <c r="Z1009">
        <v>2017</v>
      </c>
      <c r="AB1009">
        <v>10</v>
      </c>
      <c r="AC1009">
        <v>2.5499999999999998</v>
      </c>
      <c r="AE1009" t="s">
        <v>346</v>
      </c>
      <c r="AF1009">
        <v>46.142674</v>
      </c>
      <c r="AG1009">
        <v>-115.598088</v>
      </c>
      <c r="AH1009">
        <v>15113027</v>
      </c>
    </row>
    <row r="1010" spans="2:35">
      <c r="B1010" t="s">
        <v>345</v>
      </c>
      <c r="C1010" t="s">
        <v>1158</v>
      </c>
      <c r="D1010" s="3">
        <v>42935.354166666664</v>
      </c>
      <c r="F1010">
        <v>2017</v>
      </c>
      <c r="G1010" t="s">
        <v>480</v>
      </c>
      <c r="H1010" t="s">
        <v>352</v>
      </c>
      <c r="J1010">
        <v>0</v>
      </c>
      <c r="L1010">
        <v>1</v>
      </c>
      <c r="O1010" t="s">
        <v>643</v>
      </c>
      <c r="U1010">
        <v>25</v>
      </c>
      <c r="V1010">
        <v>17</v>
      </c>
      <c r="W1010" t="s">
        <v>350</v>
      </c>
      <c r="X1010" t="s">
        <v>349</v>
      </c>
      <c r="Y1010" t="s">
        <v>813</v>
      </c>
      <c r="Z1010">
        <v>2017</v>
      </c>
      <c r="AB1010">
        <v>10</v>
      </c>
      <c r="AC1010">
        <v>2.5499999999999998</v>
      </c>
      <c r="AE1010" t="s">
        <v>346</v>
      </c>
      <c r="AF1010">
        <v>46.142674</v>
      </c>
      <c r="AG1010">
        <v>-115.598088</v>
      </c>
      <c r="AH1010">
        <v>15113028</v>
      </c>
    </row>
    <row r="1011" spans="2:35">
      <c r="B1011" t="s">
        <v>345</v>
      </c>
      <c r="C1011" t="s">
        <v>1158</v>
      </c>
      <c r="D1011" s="3">
        <v>42935.354166666664</v>
      </c>
      <c r="F1011">
        <v>2017</v>
      </c>
      <c r="G1011" t="s">
        <v>605</v>
      </c>
      <c r="H1011" t="s">
        <v>352</v>
      </c>
      <c r="J1011">
        <v>0</v>
      </c>
      <c r="L1011">
        <v>2</v>
      </c>
      <c r="O1011" t="s">
        <v>643</v>
      </c>
      <c r="U1011">
        <v>25</v>
      </c>
      <c r="V1011">
        <v>17</v>
      </c>
      <c r="W1011" t="s">
        <v>350</v>
      </c>
      <c r="X1011" t="s">
        <v>349</v>
      </c>
      <c r="Y1011" t="s">
        <v>813</v>
      </c>
      <c r="Z1011">
        <v>2017</v>
      </c>
      <c r="AB1011">
        <v>10</v>
      </c>
      <c r="AC1011">
        <v>2.5499999999999998</v>
      </c>
      <c r="AE1011" t="s">
        <v>346</v>
      </c>
      <c r="AF1011">
        <v>46.142674</v>
      </c>
      <c r="AG1011">
        <v>-115.598088</v>
      </c>
      <c r="AH1011">
        <v>15113029</v>
      </c>
    </row>
    <row r="1012" spans="2:35">
      <c r="B1012" t="s">
        <v>345</v>
      </c>
      <c r="C1012" t="s">
        <v>1159</v>
      </c>
      <c r="D1012" s="3">
        <v>42904.398611111108</v>
      </c>
      <c r="F1012">
        <v>2017</v>
      </c>
      <c r="G1012" t="s">
        <v>574</v>
      </c>
      <c r="H1012" t="s">
        <v>352</v>
      </c>
      <c r="J1012">
        <v>0</v>
      </c>
      <c r="L1012">
        <v>1</v>
      </c>
      <c r="M1012">
        <v>58</v>
      </c>
      <c r="N1012">
        <v>2</v>
      </c>
      <c r="O1012" t="s">
        <v>609</v>
      </c>
      <c r="R1012" t="s">
        <v>1160</v>
      </c>
      <c r="U1012">
        <v>11</v>
      </c>
      <c r="V1012">
        <v>10</v>
      </c>
      <c r="W1012" t="s">
        <v>350</v>
      </c>
      <c r="X1012" t="s">
        <v>349</v>
      </c>
      <c r="Y1012" t="s">
        <v>580</v>
      </c>
      <c r="Z1012">
        <v>2017</v>
      </c>
      <c r="AB1012">
        <v>14</v>
      </c>
      <c r="AC1012">
        <v>6.02</v>
      </c>
      <c r="AE1012" t="s">
        <v>346</v>
      </c>
      <c r="AF1012">
        <v>46.142674</v>
      </c>
      <c r="AG1012">
        <v>-115.598088</v>
      </c>
      <c r="AH1012">
        <v>15301987</v>
      </c>
    </row>
    <row r="1013" spans="2:35">
      <c r="B1013" t="s">
        <v>345</v>
      </c>
      <c r="C1013" t="s">
        <v>1159</v>
      </c>
      <c r="D1013" s="3">
        <v>42904.398611111108</v>
      </c>
      <c r="F1013">
        <v>2017</v>
      </c>
      <c r="G1013" t="s">
        <v>605</v>
      </c>
      <c r="H1013" t="s">
        <v>352</v>
      </c>
      <c r="J1013">
        <v>0</v>
      </c>
      <c r="L1013">
        <v>1</v>
      </c>
      <c r="M1013">
        <v>85</v>
      </c>
      <c r="N1013">
        <v>5</v>
      </c>
      <c r="O1013" t="s">
        <v>353</v>
      </c>
      <c r="R1013" t="s">
        <v>1160</v>
      </c>
      <c r="U1013">
        <v>11</v>
      </c>
      <c r="V1013">
        <v>10</v>
      </c>
      <c r="W1013" t="s">
        <v>350</v>
      </c>
      <c r="X1013" t="s">
        <v>349</v>
      </c>
      <c r="Y1013" t="s">
        <v>580</v>
      </c>
      <c r="Z1013">
        <v>2017</v>
      </c>
      <c r="AB1013">
        <v>14</v>
      </c>
      <c r="AC1013">
        <v>6.02</v>
      </c>
      <c r="AE1013" t="s">
        <v>346</v>
      </c>
      <c r="AF1013">
        <v>46.142674</v>
      </c>
      <c r="AG1013">
        <v>-115.598088</v>
      </c>
      <c r="AH1013">
        <v>15301988</v>
      </c>
    </row>
    <row r="1014" spans="2:35">
      <c r="B1014" t="s">
        <v>345</v>
      </c>
      <c r="C1014" t="s">
        <v>1159</v>
      </c>
      <c r="D1014" s="3">
        <v>42904.398611111108</v>
      </c>
      <c r="F1014">
        <v>2017</v>
      </c>
      <c r="G1014" t="s">
        <v>605</v>
      </c>
      <c r="H1014" t="s">
        <v>352</v>
      </c>
      <c r="J1014">
        <v>0</v>
      </c>
      <c r="L1014">
        <v>1</v>
      </c>
      <c r="M1014">
        <v>70</v>
      </c>
      <c r="N1014">
        <v>3</v>
      </c>
      <c r="O1014" t="s">
        <v>353</v>
      </c>
      <c r="R1014" t="s">
        <v>1160</v>
      </c>
      <c r="U1014">
        <v>11</v>
      </c>
      <c r="V1014">
        <v>10</v>
      </c>
      <c r="W1014" t="s">
        <v>350</v>
      </c>
      <c r="X1014" t="s">
        <v>349</v>
      </c>
      <c r="Y1014" t="s">
        <v>580</v>
      </c>
      <c r="Z1014">
        <v>2017</v>
      </c>
      <c r="AB1014">
        <v>14</v>
      </c>
      <c r="AC1014">
        <v>6.02</v>
      </c>
      <c r="AE1014" t="s">
        <v>346</v>
      </c>
      <c r="AF1014">
        <v>46.142674</v>
      </c>
      <c r="AG1014">
        <v>-115.598088</v>
      </c>
      <c r="AH1014">
        <v>15301989</v>
      </c>
    </row>
    <row r="1015" spans="2:35">
      <c r="B1015" t="s">
        <v>345</v>
      </c>
      <c r="C1015" t="s">
        <v>1159</v>
      </c>
      <c r="D1015" s="3">
        <v>42904.398611111108</v>
      </c>
      <c r="F1015">
        <v>2017</v>
      </c>
      <c r="G1015" t="s">
        <v>578</v>
      </c>
      <c r="H1015" t="s">
        <v>352</v>
      </c>
      <c r="J1015">
        <v>0</v>
      </c>
      <c r="L1015">
        <v>1</v>
      </c>
      <c r="M1015">
        <v>128</v>
      </c>
      <c r="N1015">
        <v>24</v>
      </c>
      <c r="O1015" t="s">
        <v>575</v>
      </c>
      <c r="Q1015" t="s">
        <v>1161</v>
      </c>
      <c r="R1015" t="s">
        <v>1160</v>
      </c>
      <c r="U1015">
        <v>11</v>
      </c>
      <c r="V1015">
        <v>10</v>
      </c>
      <c r="W1015" t="s">
        <v>350</v>
      </c>
      <c r="X1015" t="s">
        <v>349</v>
      </c>
      <c r="Y1015" t="s">
        <v>580</v>
      </c>
      <c r="Z1015">
        <v>2017</v>
      </c>
      <c r="AB1015">
        <v>14</v>
      </c>
      <c r="AC1015">
        <v>6.02</v>
      </c>
      <c r="AE1015" t="s">
        <v>346</v>
      </c>
      <c r="AF1015">
        <v>46.142674</v>
      </c>
      <c r="AG1015">
        <v>-115.598088</v>
      </c>
      <c r="AH1015">
        <v>15301990</v>
      </c>
    </row>
    <row r="1016" spans="2:35">
      <c r="B1016" t="s">
        <v>345</v>
      </c>
      <c r="C1016" t="s">
        <v>1159</v>
      </c>
      <c r="D1016" s="3">
        <v>42904.398611111108</v>
      </c>
      <c r="F1016">
        <v>2017</v>
      </c>
      <c r="G1016" t="s">
        <v>351</v>
      </c>
      <c r="H1016" t="s">
        <v>352</v>
      </c>
      <c r="J1016">
        <v>0</v>
      </c>
      <c r="L1016">
        <v>1</v>
      </c>
      <c r="M1016">
        <v>120</v>
      </c>
      <c r="N1016">
        <v>4</v>
      </c>
      <c r="O1016" t="s">
        <v>353</v>
      </c>
      <c r="R1016" t="s">
        <v>1160</v>
      </c>
      <c r="U1016">
        <v>11</v>
      </c>
      <c r="V1016">
        <v>10</v>
      </c>
      <c r="W1016" t="s">
        <v>350</v>
      </c>
      <c r="X1016" t="s">
        <v>349</v>
      </c>
      <c r="Y1016" t="s">
        <v>580</v>
      </c>
      <c r="Z1016">
        <v>2017</v>
      </c>
      <c r="AB1016">
        <v>14</v>
      </c>
      <c r="AC1016">
        <v>6.02</v>
      </c>
      <c r="AE1016" t="s">
        <v>346</v>
      </c>
      <c r="AF1016">
        <v>46.142674</v>
      </c>
      <c r="AG1016">
        <v>-115.598088</v>
      </c>
      <c r="AH1016">
        <v>15301991</v>
      </c>
    </row>
    <row r="1017" spans="2:35">
      <c r="B1017" t="s">
        <v>345</v>
      </c>
      <c r="C1017" t="s">
        <v>1159</v>
      </c>
      <c r="D1017" s="3">
        <v>42904.398611111108</v>
      </c>
      <c r="F1017">
        <v>2017</v>
      </c>
      <c r="G1017" t="s">
        <v>482</v>
      </c>
      <c r="H1017" t="s">
        <v>352</v>
      </c>
      <c r="J1017">
        <v>0</v>
      </c>
      <c r="L1017">
        <v>1</v>
      </c>
      <c r="M1017">
        <v>130</v>
      </c>
      <c r="N1017">
        <v>19</v>
      </c>
      <c r="O1017" t="s">
        <v>353</v>
      </c>
      <c r="R1017" t="s">
        <v>1160</v>
      </c>
      <c r="U1017">
        <v>11</v>
      </c>
      <c r="V1017">
        <v>10</v>
      </c>
      <c r="W1017" t="s">
        <v>350</v>
      </c>
      <c r="X1017" t="s">
        <v>349</v>
      </c>
      <c r="Y1017" t="s">
        <v>580</v>
      </c>
      <c r="Z1017">
        <v>2017</v>
      </c>
      <c r="AB1017">
        <v>14</v>
      </c>
      <c r="AC1017">
        <v>6.02</v>
      </c>
      <c r="AE1017" t="s">
        <v>346</v>
      </c>
      <c r="AF1017">
        <v>46.142674</v>
      </c>
      <c r="AG1017">
        <v>-115.598088</v>
      </c>
      <c r="AH1017">
        <v>15301992</v>
      </c>
    </row>
    <row r="1018" spans="2:35">
      <c r="B1018" t="s">
        <v>345</v>
      </c>
      <c r="C1018" t="s">
        <v>1162</v>
      </c>
      <c r="D1018" s="3">
        <v>43016.609722222223</v>
      </c>
      <c r="F1018">
        <v>2017</v>
      </c>
      <c r="G1018" t="s">
        <v>605</v>
      </c>
      <c r="H1018" t="s">
        <v>352</v>
      </c>
      <c r="J1018">
        <v>0</v>
      </c>
      <c r="L1018">
        <v>11</v>
      </c>
      <c r="M1018">
        <v>0</v>
      </c>
      <c r="N1018">
        <v>0</v>
      </c>
      <c r="O1018" t="s">
        <v>606</v>
      </c>
      <c r="R1018" t="s">
        <v>603</v>
      </c>
      <c r="U1018">
        <v>8.5</v>
      </c>
      <c r="V1018">
        <v>8.5</v>
      </c>
      <c r="W1018" t="s">
        <v>350</v>
      </c>
      <c r="X1018" t="s">
        <v>349</v>
      </c>
      <c r="Y1018" t="s">
        <v>348</v>
      </c>
      <c r="Z1018">
        <v>2017</v>
      </c>
      <c r="AB1018">
        <v>6</v>
      </c>
      <c r="AC1018">
        <v>2.0299999999999998</v>
      </c>
      <c r="AE1018" t="s">
        <v>346</v>
      </c>
      <c r="AF1018">
        <v>46.142674</v>
      </c>
      <c r="AG1018">
        <v>-115.598088</v>
      </c>
      <c r="AH1018">
        <v>15409252</v>
      </c>
    </row>
    <row r="1019" spans="2:35">
      <c r="B1019" t="s">
        <v>345</v>
      </c>
      <c r="C1019" t="s">
        <v>1163</v>
      </c>
      <c r="D1019" s="3">
        <v>43017.445833333331</v>
      </c>
      <c r="F1019">
        <v>2017</v>
      </c>
      <c r="G1019" t="s">
        <v>578</v>
      </c>
      <c r="H1019" t="s">
        <v>352</v>
      </c>
      <c r="J1019">
        <v>0</v>
      </c>
      <c r="L1019">
        <v>1</v>
      </c>
      <c r="M1019">
        <v>126</v>
      </c>
      <c r="N1019">
        <v>23</v>
      </c>
      <c r="O1019" t="s">
        <v>575</v>
      </c>
      <c r="Q1019" t="s">
        <v>1164</v>
      </c>
      <c r="R1019" t="s">
        <v>603</v>
      </c>
      <c r="U1019">
        <v>8.5</v>
      </c>
      <c r="V1019">
        <v>8.5</v>
      </c>
      <c r="W1019" t="s">
        <v>350</v>
      </c>
      <c r="X1019" t="s">
        <v>349</v>
      </c>
      <c r="Y1019" t="s">
        <v>348</v>
      </c>
      <c r="Z1019">
        <v>2017</v>
      </c>
      <c r="AB1019">
        <v>6</v>
      </c>
      <c r="AC1019">
        <v>2.14</v>
      </c>
      <c r="AE1019" t="s">
        <v>346</v>
      </c>
      <c r="AF1019">
        <v>46.142674</v>
      </c>
      <c r="AG1019">
        <v>-115.598088</v>
      </c>
      <c r="AH1019">
        <v>15438543</v>
      </c>
      <c r="AI1019">
        <f>17-76580</f>
        <v>-76563</v>
      </c>
    </row>
    <row r="1020" spans="2:35">
      <c r="B1020" t="s">
        <v>345</v>
      </c>
      <c r="C1020" t="s">
        <v>1165</v>
      </c>
      <c r="D1020" s="3">
        <v>42902.489583333336</v>
      </c>
      <c r="F1020">
        <v>2017</v>
      </c>
      <c r="G1020" t="s">
        <v>482</v>
      </c>
      <c r="H1020" t="s">
        <v>352</v>
      </c>
      <c r="J1020">
        <v>0</v>
      </c>
      <c r="L1020">
        <v>1</v>
      </c>
      <c r="M1020">
        <v>80</v>
      </c>
      <c r="N1020">
        <v>5</v>
      </c>
      <c r="O1020" t="s">
        <v>353</v>
      </c>
      <c r="R1020" t="s">
        <v>1166</v>
      </c>
      <c r="U1020">
        <v>11</v>
      </c>
      <c r="V1020">
        <v>10</v>
      </c>
      <c r="W1020" t="s">
        <v>350</v>
      </c>
      <c r="X1020" t="s">
        <v>349</v>
      </c>
      <c r="Y1020" t="s">
        <v>580</v>
      </c>
      <c r="Z1020">
        <v>2017</v>
      </c>
      <c r="AB1020">
        <v>13</v>
      </c>
      <c r="AC1020">
        <v>6.19</v>
      </c>
      <c r="AE1020" t="s">
        <v>346</v>
      </c>
      <c r="AF1020">
        <v>46.142674</v>
      </c>
      <c r="AG1020">
        <v>-115.598088</v>
      </c>
      <c r="AH1020">
        <v>15438676</v>
      </c>
    </row>
    <row r="1021" spans="2:35">
      <c r="B1021" t="s">
        <v>345</v>
      </c>
      <c r="C1021" t="s">
        <v>1165</v>
      </c>
      <c r="D1021" s="3">
        <v>42902.489583333336</v>
      </c>
      <c r="F1021">
        <v>2017</v>
      </c>
      <c r="G1021" t="s">
        <v>578</v>
      </c>
      <c r="H1021" t="s">
        <v>352</v>
      </c>
      <c r="J1021">
        <v>0</v>
      </c>
      <c r="L1021">
        <v>1</v>
      </c>
      <c r="M1021">
        <v>104</v>
      </c>
      <c r="N1021">
        <v>17</v>
      </c>
      <c r="O1021" t="s">
        <v>575</v>
      </c>
      <c r="Q1021" t="s">
        <v>1167</v>
      </c>
      <c r="R1021" t="s">
        <v>1166</v>
      </c>
      <c r="U1021">
        <v>11</v>
      </c>
      <c r="V1021">
        <v>10</v>
      </c>
      <c r="W1021" t="s">
        <v>350</v>
      </c>
      <c r="X1021" t="s">
        <v>349</v>
      </c>
      <c r="Y1021" t="s">
        <v>580</v>
      </c>
      <c r="Z1021">
        <v>2017</v>
      </c>
      <c r="AB1021">
        <v>13</v>
      </c>
      <c r="AC1021">
        <v>6.19</v>
      </c>
      <c r="AE1021" t="s">
        <v>346</v>
      </c>
      <c r="AF1021">
        <v>46.142674</v>
      </c>
      <c r="AG1021">
        <v>-115.598088</v>
      </c>
      <c r="AH1021">
        <v>15438677</v>
      </c>
    </row>
    <row r="1022" spans="2:35">
      <c r="B1022" t="s">
        <v>345</v>
      </c>
      <c r="C1022" t="s">
        <v>1124</v>
      </c>
      <c r="D1022" s="3">
        <v>42901.377083333333</v>
      </c>
      <c r="F1022">
        <v>2017</v>
      </c>
      <c r="G1022" t="s">
        <v>605</v>
      </c>
      <c r="H1022" t="s">
        <v>352</v>
      </c>
      <c r="J1022">
        <v>0</v>
      </c>
      <c r="L1022">
        <v>1</v>
      </c>
      <c r="M1022">
        <v>59</v>
      </c>
      <c r="N1022">
        <v>3</v>
      </c>
      <c r="O1022" t="s">
        <v>353</v>
      </c>
      <c r="R1022" t="s">
        <v>1125</v>
      </c>
      <c r="U1022">
        <v>10</v>
      </c>
      <c r="V1022">
        <v>10</v>
      </c>
      <c r="W1022" t="s">
        <v>350</v>
      </c>
      <c r="X1022" t="s">
        <v>349</v>
      </c>
      <c r="Y1022" t="s">
        <v>580</v>
      </c>
      <c r="Z1022">
        <v>2017</v>
      </c>
      <c r="AB1022">
        <v>13</v>
      </c>
      <c r="AC1022">
        <v>5.7</v>
      </c>
      <c r="AE1022" t="s">
        <v>346</v>
      </c>
      <c r="AF1022">
        <v>46.142674</v>
      </c>
      <c r="AG1022">
        <v>-115.598088</v>
      </c>
      <c r="AH1022">
        <v>15268539</v>
      </c>
    </row>
    <row r="1023" spans="2:35">
      <c r="B1023" t="s">
        <v>345</v>
      </c>
      <c r="C1023" t="s">
        <v>1124</v>
      </c>
      <c r="D1023" s="3">
        <v>42901.377083333333</v>
      </c>
      <c r="F1023">
        <v>2017</v>
      </c>
      <c r="G1023" t="s">
        <v>574</v>
      </c>
      <c r="H1023" t="s">
        <v>352</v>
      </c>
      <c r="J1023">
        <v>0</v>
      </c>
      <c r="L1023">
        <v>1</v>
      </c>
      <c r="M1023">
        <v>47</v>
      </c>
      <c r="N1023">
        <v>2</v>
      </c>
      <c r="O1023" t="s">
        <v>609</v>
      </c>
      <c r="R1023" t="s">
        <v>1125</v>
      </c>
      <c r="U1023">
        <v>10</v>
      </c>
      <c r="V1023">
        <v>10</v>
      </c>
      <c r="W1023" t="s">
        <v>350</v>
      </c>
      <c r="X1023" t="s">
        <v>349</v>
      </c>
      <c r="Y1023" t="s">
        <v>580</v>
      </c>
      <c r="Z1023">
        <v>2017</v>
      </c>
      <c r="AB1023">
        <v>13</v>
      </c>
      <c r="AC1023">
        <v>5.7</v>
      </c>
      <c r="AE1023" t="s">
        <v>346</v>
      </c>
      <c r="AF1023">
        <v>46.142674</v>
      </c>
      <c r="AG1023">
        <v>-115.598088</v>
      </c>
      <c r="AH1023">
        <v>15268540</v>
      </c>
    </row>
    <row r="1024" spans="2:35">
      <c r="B1024" t="s">
        <v>345</v>
      </c>
      <c r="C1024" t="s">
        <v>1168</v>
      </c>
      <c r="D1024" s="3">
        <v>43045.709722222222</v>
      </c>
      <c r="F1024">
        <v>2017</v>
      </c>
      <c r="G1024" t="s">
        <v>615</v>
      </c>
      <c r="H1024" t="s">
        <v>352</v>
      </c>
      <c r="J1024">
        <v>0</v>
      </c>
      <c r="L1024">
        <v>1</v>
      </c>
      <c r="M1024">
        <v>245</v>
      </c>
      <c r="N1024">
        <v>0</v>
      </c>
      <c r="O1024" t="s">
        <v>353</v>
      </c>
      <c r="R1024" t="s">
        <v>1169</v>
      </c>
      <c r="U1024">
        <v>3</v>
      </c>
      <c r="V1024">
        <v>3</v>
      </c>
      <c r="W1024" t="s">
        <v>350</v>
      </c>
      <c r="X1024" t="s">
        <v>349</v>
      </c>
      <c r="Y1024" t="s">
        <v>348</v>
      </c>
      <c r="Z1024">
        <v>2017</v>
      </c>
      <c r="AB1024">
        <v>4</v>
      </c>
      <c r="AC1024">
        <v>2.2400000000000002</v>
      </c>
      <c r="AE1024" t="s">
        <v>346</v>
      </c>
      <c r="AF1024">
        <v>46.142674</v>
      </c>
      <c r="AG1024">
        <v>-115.598088</v>
      </c>
      <c r="AH1024">
        <v>15271390</v>
      </c>
    </row>
    <row r="1025" spans="2:34">
      <c r="B1025" t="s">
        <v>345</v>
      </c>
      <c r="C1025" t="s">
        <v>1170</v>
      </c>
      <c r="D1025" s="3">
        <v>42922.333333333336</v>
      </c>
      <c r="F1025">
        <v>2017</v>
      </c>
      <c r="G1025" t="s">
        <v>611</v>
      </c>
      <c r="H1025" t="s">
        <v>352</v>
      </c>
      <c r="J1025">
        <v>0</v>
      </c>
      <c r="L1025">
        <v>18</v>
      </c>
      <c r="M1025">
        <v>0</v>
      </c>
      <c r="N1025">
        <v>0</v>
      </c>
      <c r="O1025" t="s">
        <v>353</v>
      </c>
      <c r="R1025" t="s">
        <v>1171</v>
      </c>
      <c r="U1025">
        <v>25</v>
      </c>
      <c r="V1025">
        <v>17</v>
      </c>
      <c r="W1025" t="s">
        <v>350</v>
      </c>
      <c r="X1025" t="s">
        <v>349</v>
      </c>
      <c r="Y1025" t="s">
        <v>642</v>
      </c>
      <c r="Z1025">
        <v>2017</v>
      </c>
      <c r="AB1025">
        <v>8</v>
      </c>
      <c r="AC1025">
        <v>3.38</v>
      </c>
      <c r="AE1025" t="s">
        <v>346</v>
      </c>
      <c r="AF1025">
        <v>46.142674</v>
      </c>
      <c r="AG1025">
        <v>-115.598088</v>
      </c>
      <c r="AH1025">
        <v>15315539</v>
      </c>
    </row>
    <row r="1026" spans="2:34">
      <c r="B1026" t="s">
        <v>345</v>
      </c>
      <c r="C1026" t="s">
        <v>1170</v>
      </c>
      <c r="D1026" s="3">
        <v>42922.333333333336</v>
      </c>
      <c r="F1026">
        <v>2017</v>
      </c>
      <c r="G1026" t="s">
        <v>743</v>
      </c>
      <c r="H1026" t="s">
        <v>352</v>
      </c>
      <c r="J1026">
        <v>0</v>
      </c>
      <c r="L1026">
        <v>1</v>
      </c>
      <c r="M1026">
        <v>0</v>
      </c>
      <c r="N1026">
        <v>0</v>
      </c>
      <c r="O1026" t="s">
        <v>353</v>
      </c>
      <c r="R1026" t="s">
        <v>1171</v>
      </c>
      <c r="U1026">
        <v>25</v>
      </c>
      <c r="V1026">
        <v>17</v>
      </c>
      <c r="W1026" t="s">
        <v>350</v>
      </c>
      <c r="X1026" t="s">
        <v>349</v>
      </c>
      <c r="Y1026" t="s">
        <v>642</v>
      </c>
      <c r="Z1026">
        <v>2017</v>
      </c>
      <c r="AB1026">
        <v>8</v>
      </c>
      <c r="AC1026">
        <v>3.38</v>
      </c>
      <c r="AE1026" t="s">
        <v>346</v>
      </c>
      <c r="AF1026">
        <v>46.142674</v>
      </c>
      <c r="AG1026">
        <v>-115.598088</v>
      </c>
      <c r="AH1026">
        <v>15315540</v>
      </c>
    </row>
    <row r="1027" spans="2:34">
      <c r="B1027" t="s">
        <v>345</v>
      </c>
      <c r="C1027" t="s">
        <v>1170</v>
      </c>
      <c r="D1027" s="3">
        <v>42922.333333333336</v>
      </c>
      <c r="F1027">
        <v>2017</v>
      </c>
      <c r="G1027" t="s">
        <v>602</v>
      </c>
      <c r="H1027" t="s">
        <v>352</v>
      </c>
      <c r="J1027">
        <v>0</v>
      </c>
      <c r="L1027">
        <v>1</v>
      </c>
      <c r="M1027">
        <v>0</v>
      </c>
      <c r="N1027">
        <v>0</v>
      </c>
      <c r="O1027" t="s">
        <v>353</v>
      </c>
      <c r="R1027" t="s">
        <v>1171</v>
      </c>
      <c r="U1027">
        <v>25</v>
      </c>
      <c r="V1027">
        <v>17</v>
      </c>
      <c r="W1027" t="s">
        <v>350</v>
      </c>
      <c r="X1027" t="s">
        <v>349</v>
      </c>
      <c r="Y1027" t="s">
        <v>642</v>
      </c>
      <c r="Z1027">
        <v>2017</v>
      </c>
      <c r="AB1027">
        <v>8</v>
      </c>
      <c r="AC1027">
        <v>3.38</v>
      </c>
      <c r="AE1027" t="s">
        <v>346</v>
      </c>
      <c r="AF1027">
        <v>46.142674</v>
      </c>
      <c r="AG1027">
        <v>-115.598088</v>
      </c>
      <c r="AH1027">
        <v>15315541</v>
      </c>
    </row>
    <row r="1028" spans="2:34">
      <c r="B1028" t="s">
        <v>345</v>
      </c>
      <c r="C1028" t="s">
        <v>1172</v>
      </c>
      <c r="D1028" s="3">
        <v>43006.462500000001</v>
      </c>
      <c r="F1028">
        <v>2017</v>
      </c>
      <c r="G1028" t="s">
        <v>605</v>
      </c>
      <c r="H1028" t="s">
        <v>352</v>
      </c>
      <c r="J1028">
        <v>0</v>
      </c>
      <c r="L1028">
        <v>12</v>
      </c>
      <c r="M1028">
        <v>0</v>
      </c>
      <c r="N1028">
        <v>0</v>
      </c>
      <c r="O1028" t="s">
        <v>606</v>
      </c>
      <c r="R1028" t="s">
        <v>1173</v>
      </c>
      <c r="U1028">
        <v>13</v>
      </c>
      <c r="V1028">
        <v>13</v>
      </c>
      <c r="W1028" t="s">
        <v>350</v>
      </c>
      <c r="X1028" t="s">
        <v>349</v>
      </c>
      <c r="Y1028" t="s">
        <v>642</v>
      </c>
      <c r="Z1028">
        <v>2017</v>
      </c>
      <c r="AB1028">
        <v>9</v>
      </c>
      <c r="AC1028">
        <v>1.91</v>
      </c>
      <c r="AE1028" t="s">
        <v>346</v>
      </c>
      <c r="AF1028">
        <v>46.142674</v>
      </c>
      <c r="AG1028">
        <v>-115.598088</v>
      </c>
      <c r="AH1028">
        <v>15320376</v>
      </c>
    </row>
    <row r="1029" spans="2:34">
      <c r="B1029" t="s">
        <v>345</v>
      </c>
      <c r="C1029" t="s">
        <v>1172</v>
      </c>
      <c r="D1029" s="3">
        <v>43006.462500000001</v>
      </c>
      <c r="F1029">
        <v>2017</v>
      </c>
      <c r="G1029" t="s">
        <v>578</v>
      </c>
      <c r="H1029" t="s">
        <v>352</v>
      </c>
      <c r="J1029">
        <v>0</v>
      </c>
      <c r="L1029">
        <v>1</v>
      </c>
      <c r="M1029">
        <v>90</v>
      </c>
      <c r="N1029">
        <v>9</v>
      </c>
      <c r="O1029" t="s">
        <v>575</v>
      </c>
      <c r="Q1029" t="s">
        <v>1174</v>
      </c>
      <c r="R1029" t="s">
        <v>1173</v>
      </c>
      <c r="U1029">
        <v>13</v>
      </c>
      <c r="V1029">
        <v>13</v>
      </c>
      <c r="W1029" t="s">
        <v>350</v>
      </c>
      <c r="X1029" t="s">
        <v>349</v>
      </c>
      <c r="Y1029" t="s">
        <v>642</v>
      </c>
      <c r="Z1029">
        <v>2017</v>
      </c>
      <c r="AB1029">
        <v>9</v>
      </c>
      <c r="AC1029">
        <v>1.91</v>
      </c>
      <c r="AE1029" t="s">
        <v>346</v>
      </c>
      <c r="AF1029">
        <v>46.142674</v>
      </c>
      <c r="AG1029">
        <v>-115.598088</v>
      </c>
      <c r="AH1029">
        <v>15320377</v>
      </c>
    </row>
    <row r="1030" spans="2:34">
      <c r="B1030" t="s">
        <v>345</v>
      </c>
      <c r="C1030" t="s">
        <v>1172</v>
      </c>
      <c r="D1030" s="3">
        <v>43006.462500000001</v>
      </c>
      <c r="F1030">
        <v>2017</v>
      </c>
      <c r="G1030" t="s">
        <v>480</v>
      </c>
      <c r="H1030" t="s">
        <v>352</v>
      </c>
      <c r="J1030">
        <v>0</v>
      </c>
      <c r="L1030">
        <v>1</v>
      </c>
      <c r="M1030">
        <v>305</v>
      </c>
      <c r="N1030">
        <v>165</v>
      </c>
      <c r="O1030" t="s">
        <v>353</v>
      </c>
      <c r="R1030" t="s">
        <v>1173</v>
      </c>
      <c r="U1030">
        <v>13</v>
      </c>
      <c r="V1030">
        <v>13</v>
      </c>
      <c r="W1030" t="s">
        <v>350</v>
      </c>
      <c r="X1030" t="s">
        <v>349</v>
      </c>
      <c r="Y1030" t="s">
        <v>642</v>
      </c>
      <c r="Z1030">
        <v>2017</v>
      </c>
      <c r="AB1030">
        <v>9</v>
      </c>
      <c r="AC1030">
        <v>1.91</v>
      </c>
      <c r="AE1030" t="s">
        <v>346</v>
      </c>
      <c r="AF1030">
        <v>46.142674</v>
      </c>
      <c r="AG1030">
        <v>-115.598088</v>
      </c>
      <c r="AH1030">
        <v>15320378</v>
      </c>
    </row>
    <row r="1031" spans="2:34">
      <c r="B1031" t="s">
        <v>345</v>
      </c>
      <c r="C1031" t="s">
        <v>1172</v>
      </c>
      <c r="D1031" s="3">
        <v>43006.462500000001</v>
      </c>
      <c r="F1031">
        <v>2017</v>
      </c>
      <c r="G1031" t="s">
        <v>482</v>
      </c>
      <c r="H1031" t="s">
        <v>352</v>
      </c>
      <c r="J1031">
        <v>0</v>
      </c>
      <c r="L1031">
        <v>1</v>
      </c>
      <c r="M1031">
        <v>202</v>
      </c>
      <c r="N1031">
        <v>100</v>
      </c>
      <c r="O1031" t="s">
        <v>353</v>
      </c>
      <c r="R1031" t="s">
        <v>1173</v>
      </c>
      <c r="U1031">
        <v>13</v>
      </c>
      <c r="V1031">
        <v>13</v>
      </c>
      <c r="W1031" t="s">
        <v>350</v>
      </c>
      <c r="X1031" t="s">
        <v>349</v>
      </c>
      <c r="Y1031" t="s">
        <v>642</v>
      </c>
      <c r="Z1031">
        <v>2017</v>
      </c>
      <c r="AB1031">
        <v>9</v>
      </c>
      <c r="AC1031">
        <v>1.91</v>
      </c>
      <c r="AE1031" t="s">
        <v>346</v>
      </c>
      <c r="AF1031">
        <v>46.142674</v>
      </c>
      <c r="AG1031">
        <v>-115.598088</v>
      </c>
      <c r="AH1031">
        <v>15320379</v>
      </c>
    </row>
    <row r="1032" spans="2:34">
      <c r="B1032" t="s">
        <v>345</v>
      </c>
      <c r="C1032" t="s">
        <v>1172</v>
      </c>
      <c r="D1032" s="3">
        <v>43006.462500000001</v>
      </c>
      <c r="F1032">
        <v>2017</v>
      </c>
      <c r="G1032" t="s">
        <v>602</v>
      </c>
      <c r="H1032" t="s">
        <v>352</v>
      </c>
      <c r="J1032">
        <v>0</v>
      </c>
      <c r="L1032">
        <v>1</v>
      </c>
      <c r="M1032">
        <v>215</v>
      </c>
      <c r="N1032">
        <v>135</v>
      </c>
      <c r="O1032" t="s">
        <v>353</v>
      </c>
      <c r="R1032" t="s">
        <v>1173</v>
      </c>
      <c r="U1032">
        <v>13</v>
      </c>
      <c r="V1032">
        <v>13</v>
      </c>
      <c r="W1032" t="s">
        <v>350</v>
      </c>
      <c r="X1032" t="s">
        <v>349</v>
      </c>
      <c r="Y1032" t="s">
        <v>642</v>
      </c>
      <c r="Z1032">
        <v>2017</v>
      </c>
      <c r="AB1032">
        <v>9</v>
      </c>
      <c r="AC1032">
        <v>1.91</v>
      </c>
      <c r="AE1032" t="s">
        <v>346</v>
      </c>
      <c r="AF1032">
        <v>46.142674</v>
      </c>
      <c r="AG1032">
        <v>-115.598088</v>
      </c>
      <c r="AH1032">
        <v>15320380</v>
      </c>
    </row>
    <row r="1033" spans="2:34">
      <c r="B1033" t="s">
        <v>345</v>
      </c>
      <c r="C1033" t="s">
        <v>1175</v>
      </c>
      <c r="D1033" s="3">
        <v>43014.459027777775</v>
      </c>
      <c r="F1033">
        <v>2017</v>
      </c>
      <c r="G1033" t="s">
        <v>605</v>
      </c>
      <c r="H1033" t="s">
        <v>352</v>
      </c>
      <c r="J1033">
        <v>0</v>
      </c>
      <c r="L1033">
        <v>4</v>
      </c>
      <c r="M1033">
        <v>0</v>
      </c>
      <c r="N1033">
        <v>0</v>
      </c>
      <c r="O1033" t="s">
        <v>606</v>
      </c>
      <c r="U1033">
        <v>9.5</v>
      </c>
      <c r="V1033">
        <v>9.5</v>
      </c>
      <c r="W1033" t="s">
        <v>350</v>
      </c>
      <c r="X1033" t="s">
        <v>349</v>
      </c>
      <c r="Y1033" t="s">
        <v>348</v>
      </c>
      <c r="Z1033">
        <v>2017</v>
      </c>
      <c r="AB1033">
        <v>5</v>
      </c>
      <c r="AC1033">
        <v>1.96</v>
      </c>
      <c r="AE1033" t="s">
        <v>346</v>
      </c>
      <c r="AF1033">
        <v>46.142674</v>
      </c>
      <c r="AG1033">
        <v>-115.598088</v>
      </c>
      <c r="AH1033">
        <v>15370030</v>
      </c>
    </row>
    <row r="1034" spans="2:34">
      <c r="B1034" t="s">
        <v>345</v>
      </c>
      <c r="C1034" t="s">
        <v>1176</v>
      </c>
      <c r="D1034" s="3">
        <v>42817.334027777775</v>
      </c>
      <c r="F1034">
        <v>2017</v>
      </c>
      <c r="G1034" t="s">
        <v>578</v>
      </c>
      <c r="H1034" t="s">
        <v>352</v>
      </c>
      <c r="J1034">
        <v>0</v>
      </c>
      <c r="L1034">
        <v>1</v>
      </c>
      <c r="M1034">
        <v>147</v>
      </c>
      <c r="N1034">
        <v>29</v>
      </c>
      <c r="O1034" t="s">
        <v>575</v>
      </c>
      <c r="Q1034" t="s">
        <v>1177</v>
      </c>
      <c r="U1034">
        <v>5</v>
      </c>
      <c r="V1034">
        <v>5</v>
      </c>
      <c r="W1034" t="s">
        <v>350</v>
      </c>
      <c r="X1034" t="s">
        <v>349</v>
      </c>
      <c r="Y1034" t="s">
        <v>580</v>
      </c>
      <c r="Z1034">
        <v>2017</v>
      </c>
      <c r="AB1034">
        <v>12</v>
      </c>
      <c r="AC1034">
        <v>7.2</v>
      </c>
      <c r="AE1034" t="s">
        <v>346</v>
      </c>
      <c r="AF1034">
        <v>46.142674</v>
      </c>
      <c r="AG1034">
        <v>-115.598088</v>
      </c>
      <c r="AH1034">
        <v>15514186</v>
      </c>
    </row>
    <row r="1035" spans="2:34">
      <c r="B1035" t="s">
        <v>345</v>
      </c>
      <c r="C1035" t="s">
        <v>1176</v>
      </c>
      <c r="D1035" s="3">
        <v>42817.334027777775</v>
      </c>
      <c r="F1035">
        <v>2017</v>
      </c>
      <c r="G1035" t="s">
        <v>574</v>
      </c>
      <c r="H1035" t="s">
        <v>352</v>
      </c>
      <c r="J1035">
        <v>0</v>
      </c>
      <c r="L1035">
        <v>1</v>
      </c>
      <c r="M1035">
        <v>70</v>
      </c>
      <c r="N1035">
        <v>5</v>
      </c>
      <c r="O1035" t="s">
        <v>575</v>
      </c>
      <c r="Q1035" t="s">
        <v>576</v>
      </c>
      <c r="U1035">
        <v>5</v>
      </c>
      <c r="V1035">
        <v>5</v>
      </c>
      <c r="W1035" t="s">
        <v>350</v>
      </c>
      <c r="X1035" t="s">
        <v>349</v>
      </c>
      <c r="Y1035" t="s">
        <v>580</v>
      </c>
      <c r="Z1035">
        <v>2017</v>
      </c>
      <c r="AB1035">
        <v>12</v>
      </c>
      <c r="AC1035">
        <v>7.2</v>
      </c>
      <c r="AE1035" t="s">
        <v>346</v>
      </c>
      <c r="AF1035">
        <v>46.142674</v>
      </c>
      <c r="AG1035">
        <v>-115.598088</v>
      </c>
      <c r="AH1035">
        <v>15514187</v>
      </c>
    </row>
    <row r="1036" spans="2:34">
      <c r="B1036" t="s">
        <v>345</v>
      </c>
      <c r="C1036" t="s">
        <v>1176</v>
      </c>
      <c r="D1036" s="3">
        <v>42817.334027777775</v>
      </c>
      <c r="F1036">
        <v>2017</v>
      </c>
      <c r="G1036" t="s">
        <v>574</v>
      </c>
      <c r="H1036" t="s">
        <v>352</v>
      </c>
      <c r="J1036">
        <v>0</v>
      </c>
      <c r="L1036">
        <v>1</v>
      </c>
      <c r="M1036">
        <v>91</v>
      </c>
      <c r="N1036">
        <v>6</v>
      </c>
      <c r="O1036" t="s">
        <v>575</v>
      </c>
      <c r="Q1036" t="s">
        <v>576</v>
      </c>
      <c r="U1036">
        <v>5</v>
      </c>
      <c r="V1036">
        <v>5</v>
      </c>
      <c r="W1036" t="s">
        <v>350</v>
      </c>
      <c r="X1036" t="s">
        <v>349</v>
      </c>
      <c r="Y1036" t="s">
        <v>580</v>
      </c>
      <c r="Z1036">
        <v>2017</v>
      </c>
      <c r="AB1036">
        <v>12</v>
      </c>
      <c r="AC1036">
        <v>7.2</v>
      </c>
      <c r="AE1036" t="s">
        <v>346</v>
      </c>
      <c r="AF1036">
        <v>46.142674</v>
      </c>
      <c r="AG1036">
        <v>-115.598088</v>
      </c>
      <c r="AH1036">
        <v>15514188</v>
      </c>
    </row>
    <row r="1037" spans="2:34">
      <c r="B1037" t="s">
        <v>345</v>
      </c>
      <c r="C1037" t="s">
        <v>1176</v>
      </c>
      <c r="D1037" s="3">
        <v>42817.334027777775</v>
      </c>
      <c r="F1037">
        <v>2017</v>
      </c>
      <c r="G1037" t="s">
        <v>574</v>
      </c>
      <c r="H1037" t="s">
        <v>352</v>
      </c>
      <c r="J1037">
        <v>0</v>
      </c>
      <c r="L1037">
        <v>1</v>
      </c>
      <c r="M1037">
        <v>91</v>
      </c>
      <c r="N1037">
        <v>8</v>
      </c>
      <c r="O1037" t="s">
        <v>575</v>
      </c>
      <c r="Q1037" t="s">
        <v>576</v>
      </c>
      <c r="U1037">
        <v>5</v>
      </c>
      <c r="V1037">
        <v>5</v>
      </c>
      <c r="W1037" t="s">
        <v>350</v>
      </c>
      <c r="X1037" t="s">
        <v>349</v>
      </c>
      <c r="Y1037" t="s">
        <v>580</v>
      </c>
      <c r="Z1037">
        <v>2017</v>
      </c>
      <c r="AB1037">
        <v>12</v>
      </c>
      <c r="AC1037">
        <v>7.2</v>
      </c>
      <c r="AE1037" t="s">
        <v>346</v>
      </c>
      <c r="AF1037">
        <v>46.142674</v>
      </c>
      <c r="AG1037">
        <v>-115.598088</v>
      </c>
      <c r="AH1037">
        <v>15514189</v>
      </c>
    </row>
    <row r="1038" spans="2:34">
      <c r="B1038" t="s">
        <v>345</v>
      </c>
      <c r="C1038" t="s">
        <v>1178</v>
      </c>
      <c r="D1038" s="3">
        <v>42884.570833333331</v>
      </c>
      <c r="F1038">
        <v>2017</v>
      </c>
      <c r="G1038" t="s">
        <v>615</v>
      </c>
      <c r="H1038" t="s">
        <v>352</v>
      </c>
      <c r="J1038">
        <v>0</v>
      </c>
      <c r="L1038">
        <v>1</v>
      </c>
      <c r="M1038">
        <v>124</v>
      </c>
      <c r="N1038">
        <v>21</v>
      </c>
      <c r="O1038" t="s">
        <v>353</v>
      </c>
      <c r="R1038" t="s">
        <v>1179</v>
      </c>
      <c r="U1038">
        <v>9</v>
      </c>
      <c r="V1038">
        <v>9</v>
      </c>
      <c r="W1038" t="s">
        <v>350</v>
      </c>
      <c r="X1038" t="s">
        <v>349</v>
      </c>
      <c r="Y1038" t="s">
        <v>580</v>
      </c>
      <c r="Z1038">
        <v>2017</v>
      </c>
      <c r="AB1038">
        <v>10</v>
      </c>
      <c r="AC1038">
        <v>7.95</v>
      </c>
      <c r="AE1038" t="s">
        <v>346</v>
      </c>
      <c r="AF1038">
        <v>46.142674</v>
      </c>
      <c r="AG1038">
        <v>-115.598088</v>
      </c>
      <c r="AH1038">
        <v>15395275</v>
      </c>
    </row>
    <row r="1039" spans="2:34">
      <c r="B1039" t="s">
        <v>345</v>
      </c>
      <c r="C1039" t="s">
        <v>1180</v>
      </c>
      <c r="D1039" s="3">
        <v>42930.435416666667</v>
      </c>
      <c r="F1039">
        <v>2017</v>
      </c>
      <c r="G1039" t="s">
        <v>743</v>
      </c>
      <c r="H1039" t="s">
        <v>352</v>
      </c>
      <c r="J1039">
        <v>0</v>
      </c>
      <c r="L1039">
        <v>3</v>
      </c>
      <c r="M1039">
        <v>0</v>
      </c>
      <c r="N1039">
        <v>0</v>
      </c>
      <c r="O1039" t="s">
        <v>643</v>
      </c>
      <c r="U1039">
        <v>25</v>
      </c>
      <c r="V1039">
        <v>25</v>
      </c>
      <c r="W1039" t="s">
        <v>350</v>
      </c>
      <c r="X1039" t="s">
        <v>349</v>
      </c>
      <c r="Y1039" t="s">
        <v>710</v>
      </c>
      <c r="Z1039">
        <v>2017</v>
      </c>
      <c r="AB1039">
        <v>12</v>
      </c>
      <c r="AC1039">
        <v>2.83</v>
      </c>
      <c r="AE1039" t="s">
        <v>346</v>
      </c>
      <c r="AF1039">
        <v>46.142674</v>
      </c>
      <c r="AG1039">
        <v>-115.598088</v>
      </c>
      <c r="AH1039">
        <v>15551362</v>
      </c>
    </row>
    <row r="1040" spans="2:34">
      <c r="B1040" t="s">
        <v>345</v>
      </c>
      <c r="C1040" t="s">
        <v>1180</v>
      </c>
      <c r="D1040" s="3">
        <v>42930.435416666667</v>
      </c>
      <c r="F1040">
        <v>2017</v>
      </c>
      <c r="G1040" t="s">
        <v>602</v>
      </c>
      <c r="H1040" t="s">
        <v>352</v>
      </c>
      <c r="J1040">
        <v>0</v>
      </c>
      <c r="L1040">
        <v>2</v>
      </c>
      <c r="M1040">
        <v>0</v>
      </c>
      <c r="N1040">
        <v>0</v>
      </c>
      <c r="O1040" t="s">
        <v>643</v>
      </c>
      <c r="U1040">
        <v>25</v>
      </c>
      <c r="V1040">
        <v>25</v>
      </c>
      <c r="W1040" t="s">
        <v>350</v>
      </c>
      <c r="X1040" t="s">
        <v>349</v>
      </c>
      <c r="Y1040" t="s">
        <v>710</v>
      </c>
      <c r="Z1040">
        <v>2017</v>
      </c>
      <c r="AB1040">
        <v>12</v>
      </c>
      <c r="AC1040">
        <v>2.83</v>
      </c>
      <c r="AE1040" t="s">
        <v>346</v>
      </c>
      <c r="AF1040">
        <v>46.142674</v>
      </c>
      <c r="AG1040">
        <v>-115.598088</v>
      </c>
      <c r="AH1040">
        <v>15551363</v>
      </c>
    </row>
    <row r="1041" spans="2:35">
      <c r="B1041" t="s">
        <v>345</v>
      </c>
      <c r="C1041" t="s">
        <v>1180</v>
      </c>
      <c r="D1041" s="3">
        <v>42930.435416666667</v>
      </c>
      <c r="F1041">
        <v>2017</v>
      </c>
      <c r="G1041" t="s">
        <v>615</v>
      </c>
      <c r="H1041" t="s">
        <v>352</v>
      </c>
      <c r="J1041">
        <v>0</v>
      </c>
      <c r="L1041">
        <v>1</v>
      </c>
      <c r="M1041">
        <v>0</v>
      </c>
      <c r="N1041">
        <v>0</v>
      </c>
      <c r="O1041" t="s">
        <v>643</v>
      </c>
      <c r="U1041">
        <v>25</v>
      </c>
      <c r="V1041">
        <v>25</v>
      </c>
      <c r="W1041" t="s">
        <v>350</v>
      </c>
      <c r="X1041" t="s">
        <v>349</v>
      </c>
      <c r="Y1041" t="s">
        <v>710</v>
      </c>
      <c r="Z1041">
        <v>2017</v>
      </c>
      <c r="AB1041">
        <v>12</v>
      </c>
      <c r="AC1041">
        <v>2.83</v>
      </c>
      <c r="AE1041" t="s">
        <v>346</v>
      </c>
      <c r="AF1041">
        <v>46.142674</v>
      </c>
      <c r="AG1041">
        <v>-115.598088</v>
      </c>
      <c r="AH1041">
        <v>15551364</v>
      </c>
    </row>
    <row r="1042" spans="2:35">
      <c r="B1042" t="s">
        <v>345</v>
      </c>
      <c r="C1042" t="s">
        <v>1180</v>
      </c>
      <c r="D1042" s="3">
        <v>42930.435416666667</v>
      </c>
      <c r="F1042">
        <v>2017</v>
      </c>
      <c r="G1042" t="s">
        <v>605</v>
      </c>
      <c r="H1042" t="s">
        <v>352</v>
      </c>
      <c r="J1042">
        <v>0</v>
      </c>
      <c r="L1042">
        <v>1</v>
      </c>
      <c r="M1042">
        <v>0</v>
      </c>
      <c r="N1042">
        <v>0</v>
      </c>
      <c r="O1042" t="s">
        <v>643</v>
      </c>
      <c r="U1042">
        <v>25</v>
      </c>
      <c r="V1042">
        <v>25</v>
      </c>
      <c r="W1042" t="s">
        <v>350</v>
      </c>
      <c r="X1042" t="s">
        <v>349</v>
      </c>
      <c r="Y1042" t="s">
        <v>710</v>
      </c>
      <c r="Z1042">
        <v>2017</v>
      </c>
      <c r="AB1042">
        <v>12</v>
      </c>
      <c r="AC1042">
        <v>2.83</v>
      </c>
      <c r="AE1042" t="s">
        <v>346</v>
      </c>
      <c r="AF1042">
        <v>46.142674</v>
      </c>
      <c r="AG1042">
        <v>-115.598088</v>
      </c>
      <c r="AH1042">
        <v>15551365</v>
      </c>
    </row>
    <row r="1043" spans="2:35">
      <c r="B1043" t="s">
        <v>345</v>
      </c>
      <c r="C1043" t="s">
        <v>1180</v>
      </c>
      <c r="D1043" s="3">
        <v>42930.435416666667</v>
      </c>
      <c r="F1043">
        <v>2017</v>
      </c>
      <c r="G1043" t="s">
        <v>611</v>
      </c>
      <c r="H1043" t="s">
        <v>352</v>
      </c>
      <c r="J1043">
        <v>0</v>
      </c>
      <c r="L1043">
        <v>2</v>
      </c>
      <c r="M1043">
        <v>0</v>
      </c>
      <c r="N1043">
        <v>0</v>
      </c>
      <c r="O1043" t="s">
        <v>643</v>
      </c>
      <c r="U1043">
        <v>25</v>
      </c>
      <c r="V1043">
        <v>25</v>
      </c>
      <c r="W1043" t="s">
        <v>350</v>
      </c>
      <c r="X1043" t="s">
        <v>349</v>
      </c>
      <c r="Y1043" t="s">
        <v>710</v>
      </c>
      <c r="Z1043">
        <v>2017</v>
      </c>
      <c r="AB1043">
        <v>12</v>
      </c>
      <c r="AC1043">
        <v>2.83</v>
      </c>
      <c r="AE1043" t="s">
        <v>346</v>
      </c>
      <c r="AF1043">
        <v>46.142674</v>
      </c>
      <c r="AG1043">
        <v>-115.598088</v>
      </c>
      <c r="AH1043">
        <v>15551366</v>
      </c>
    </row>
    <row r="1044" spans="2:35">
      <c r="B1044" t="s">
        <v>345</v>
      </c>
      <c r="C1044" t="s">
        <v>1181</v>
      </c>
      <c r="D1044" s="3">
        <v>42850.359027777777</v>
      </c>
      <c r="F1044">
        <v>2017</v>
      </c>
      <c r="G1044" t="s">
        <v>578</v>
      </c>
      <c r="H1044" t="s">
        <v>352</v>
      </c>
      <c r="J1044">
        <v>0</v>
      </c>
      <c r="L1044">
        <v>1</v>
      </c>
      <c r="M1044">
        <v>168</v>
      </c>
      <c r="N1044">
        <v>42</v>
      </c>
      <c r="O1044" t="s">
        <v>575</v>
      </c>
      <c r="Q1044" t="s">
        <v>1182</v>
      </c>
      <c r="R1044" t="s">
        <v>1183</v>
      </c>
      <c r="U1044">
        <v>6</v>
      </c>
      <c r="V1044">
        <v>6</v>
      </c>
      <c r="W1044" t="s">
        <v>350</v>
      </c>
      <c r="X1044" t="s">
        <v>349</v>
      </c>
      <c r="Y1044" t="s">
        <v>580</v>
      </c>
      <c r="Z1044">
        <v>2017</v>
      </c>
      <c r="AB1044">
        <v>14</v>
      </c>
      <c r="AC1044">
        <v>5.97</v>
      </c>
      <c r="AE1044" t="s">
        <v>346</v>
      </c>
      <c r="AF1044">
        <v>46.142674</v>
      </c>
      <c r="AG1044">
        <v>-115.598088</v>
      </c>
      <c r="AH1044">
        <v>15554976</v>
      </c>
      <c r="AI1044">
        <f>17-68288</f>
        <v>-68271</v>
      </c>
    </row>
    <row r="1045" spans="2:35">
      <c r="B1045" t="s">
        <v>345</v>
      </c>
      <c r="C1045" t="s">
        <v>1181</v>
      </c>
      <c r="D1045" s="3">
        <v>42850.359027777777</v>
      </c>
      <c r="F1045">
        <v>2017</v>
      </c>
      <c r="G1045" t="s">
        <v>574</v>
      </c>
      <c r="H1045" t="s">
        <v>352</v>
      </c>
      <c r="J1045">
        <v>0</v>
      </c>
      <c r="L1045">
        <v>1</v>
      </c>
      <c r="M1045">
        <v>96</v>
      </c>
      <c r="N1045">
        <v>9</v>
      </c>
      <c r="O1045" t="s">
        <v>575</v>
      </c>
      <c r="Q1045" t="s">
        <v>576</v>
      </c>
      <c r="R1045" t="s">
        <v>1183</v>
      </c>
      <c r="U1045">
        <v>6</v>
      </c>
      <c r="V1045">
        <v>6</v>
      </c>
      <c r="W1045" t="s">
        <v>350</v>
      </c>
      <c r="X1045" t="s">
        <v>349</v>
      </c>
      <c r="Y1045" t="s">
        <v>580</v>
      </c>
      <c r="Z1045">
        <v>2017</v>
      </c>
      <c r="AB1045">
        <v>14</v>
      </c>
      <c r="AC1045">
        <v>5.97</v>
      </c>
      <c r="AE1045" t="s">
        <v>346</v>
      </c>
      <c r="AF1045">
        <v>46.142674</v>
      </c>
      <c r="AG1045">
        <v>-115.598088</v>
      </c>
      <c r="AH1045">
        <v>15554977</v>
      </c>
    </row>
    <row r="1046" spans="2:35">
      <c r="B1046" t="s">
        <v>345</v>
      </c>
      <c r="C1046" t="s">
        <v>1181</v>
      </c>
      <c r="D1046" s="3">
        <v>42850.359027777777</v>
      </c>
      <c r="F1046">
        <v>2017</v>
      </c>
      <c r="G1046" t="s">
        <v>578</v>
      </c>
      <c r="H1046" t="s">
        <v>352</v>
      </c>
      <c r="J1046">
        <v>0</v>
      </c>
      <c r="L1046">
        <v>1</v>
      </c>
      <c r="M1046">
        <v>205</v>
      </c>
      <c r="N1046">
        <v>71</v>
      </c>
      <c r="O1046" t="s">
        <v>575</v>
      </c>
      <c r="Q1046" t="s">
        <v>1184</v>
      </c>
      <c r="R1046" t="s">
        <v>1183</v>
      </c>
      <c r="U1046">
        <v>6</v>
      </c>
      <c r="V1046">
        <v>6</v>
      </c>
      <c r="W1046" t="s">
        <v>350</v>
      </c>
      <c r="X1046" t="s">
        <v>349</v>
      </c>
      <c r="Y1046" t="s">
        <v>580</v>
      </c>
      <c r="Z1046">
        <v>2017</v>
      </c>
      <c r="AB1046">
        <v>14</v>
      </c>
      <c r="AC1046">
        <v>5.97</v>
      </c>
      <c r="AE1046" t="s">
        <v>346</v>
      </c>
      <c r="AF1046">
        <v>46.142674</v>
      </c>
      <c r="AG1046">
        <v>-115.598088</v>
      </c>
      <c r="AH1046">
        <v>15554978</v>
      </c>
      <c r="AI1046">
        <f>17-68279</f>
        <v>-68262</v>
      </c>
    </row>
    <row r="1047" spans="2:35">
      <c r="B1047" t="s">
        <v>345</v>
      </c>
      <c r="C1047" t="s">
        <v>1181</v>
      </c>
      <c r="D1047" s="3">
        <v>42850.359027777777</v>
      </c>
      <c r="F1047">
        <v>2017</v>
      </c>
      <c r="G1047" t="s">
        <v>578</v>
      </c>
      <c r="H1047" t="s">
        <v>352</v>
      </c>
      <c r="J1047">
        <v>0</v>
      </c>
      <c r="L1047">
        <v>1</v>
      </c>
      <c r="M1047">
        <v>156</v>
      </c>
      <c r="N1047">
        <v>35</v>
      </c>
      <c r="O1047" t="s">
        <v>575</v>
      </c>
      <c r="Q1047" t="s">
        <v>1185</v>
      </c>
      <c r="R1047" t="s">
        <v>1183</v>
      </c>
      <c r="U1047">
        <v>6</v>
      </c>
      <c r="V1047">
        <v>6</v>
      </c>
      <c r="W1047" t="s">
        <v>350</v>
      </c>
      <c r="X1047" t="s">
        <v>349</v>
      </c>
      <c r="Y1047" t="s">
        <v>580</v>
      </c>
      <c r="Z1047">
        <v>2017</v>
      </c>
      <c r="AB1047">
        <v>14</v>
      </c>
      <c r="AC1047">
        <v>5.97</v>
      </c>
      <c r="AE1047" t="s">
        <v>346</v>
      </c>
      <c r="AF1047">
        <v>46.142674</v>
      </c>
      <c r="AG1047">
        <v>-115.598088</v>
      </c>
      <c r="AH1047">
        <v>15554979</v>
      </c>
      <c r="AI1047">
        <f>17-68273</f>
        <v>-68256</v>
      </c>
    </row>
    <row r="1048" spans="2:35">
      <c r="B1048" t="s">
        <v>345</v>
      </c>
      <c r="C1048" t="s">
        <v>1181</v>
      </c>
      <c r="D1048" s="3">
        <v>42850.359027777777</v>
      </c>
      <c r="F1048">
        <v>2017</v>
      </c>
      <c r="G1048" t="s">
        <v>578</v>
      </c>
      <c r="H1048" t="s">
        <v>352</v>
      </c>
      <c r="J1048">
        <v>0</v>
      </c>
      <c r="L1048">
        <v>1</v>
      </c>
      <c r="M1048">
        <v>176</v>
      </c>
      <c r="N1048">
        <v>46</v>
      </c>
      <c r="O1048" t="s">
        <v>575</v>
      </c>
      <c r="Q1048" t="s">
        <v>1186</v>
      </c>
      <c r="R1048" t="s">
        <v>1183</v>
      </c>
      <c r="U1048">
        <v>6</v>
      </c>
      <c r="V1048">
        <v>6</v>
      </c>
      <c r="W1048" t="s">
        <v>350</v>
      </c>
      <c r="X1048" t="s">
        <v>349</v>
      </c>
      <c r="Y1048" t="s">
        <v>580</v>
      </c>
      <c r="Z1048">
        <v>2017</v>
      </c>
      <c r="AB1048">
        <v>14</v>
      </c>
      <c r="AC1048">
        <v>5.97</v>
      </c>
      <c r="AE1048" t="s">
        <v>346</v>
      </c>
      <c r="AF1048">
        <v>46.142674</v>
      </c>
      <c r="AG1048">
        <v>-115.598088</v>
      </c>
      <c r="AH1048">
        <v>15554980</v>
      </c>
      <c r="AI1048">
        <f>17-68277</f>
        <v>-68260</v>
      </c>
    </row>
    <row r="1049" spans="2:35">
      <c r="B1049" t="s">
        <v>345</v>
      </c>
      <c r="C1049" t="s">
        <v>1181</v>
      </c>
      <c r="D1049" s="3">
        <v>42850.359027777777</v>
      </c>
      <c r="F1049">
        <v>2017</v>
      </c>
      <c r="G1049" t="s">
        <v>574</v>
      </c>
      <c r="H1049" t="s">
        <v>352</v>
      </c>
      <c r="J1049">
        <v>0</v>
      </c>
      <c r="L1049">
        <v>1</v>
      </c>
      <c r="M1049">
        <v>110</v>
      </c>
      <c r="N1049">
        <v>13</v>
      </c>
      <c r="O1049" t="s">
        <v>575</v>
      </c>
      <c r="Q1049" t="s">
        <v>576</v>
      </c>
      <c r="R1049" t="s">
        <v>1183</v>
      </c>
      <c r="U1049">
        <v>6</v>
      </c>
      <c r="V1049">
        <v>6</v>
      </c>
      <c r="W1049" t="s">
        <v>350</v>
      </c>
      <c r="X1049" t="s">
        <v>349</v>
      </c>
      <c r="Y1049" t="s">
        <v>580</v>
      </c>
      <c r="Z1049">
        <v>2017</v>
      </c>
      <c r="AB1049">
        <v>14</v>
      </c>
      <c r="AC1049">
        <v>5.97</v>
      </c>
      <c r="AE1049" t="s">
        <v>346</v>
      </c>
      <c r="AF1049">
        <v>46.142674</v>
      </c>
      <c r="AG1049">
        <v>-115.598088</v>
      </c>
      <c r="AH1049">
        <v>15554981</v>
      </c>
    </row>
    <row r="1050" spans="2:35">
      <c r="B1050" t="s">
        <v>345</v>
      </c>
      <c r="C1050" t="s">
        <v>1181</v>
      </c>
      <c r="D1050" s="3">
        <v>42850.359027777777</v>
      </c>
      <c r="F1050">
        <v>2017</v>
      </c>
      <c r="G1050" t="s">
        <v>578</v>
      </c>
      <c r="H1050" t="s">
        <v>352</v>
      </c>
      <c r="J1050">
        <v>0</v>
      </c>
      <c r="L1050">
        <v>1</v>
      </c>
      <c r="M1050">
        <v>179</v>
      </c>
      <c r="N1050">
        <v>48</v>
      </c>
      <c r="O1050" t="s">
        <v>575</v>
      </c>
      <c r="Q1050" t="s">
        <v>1187</v>
      </c>
      <c r="R1050" t="s">
        <v>1183</v>
      </c>
      <c r="U1050">
        <v>6</v>
      </c>
      <c r="V1050">
        <v>6</v>
      </c>
      <c r="W1050" t="s">
        <v>350</v>
      </c>
      <c r="X1050" t="s">
        <v>349</v>
      </c>
      <c r="Y1050" t="s">
        <v>580</v>
      </c>
      <c r="Z1050">
        <v>2017</v>
      </c>
      <c r="AB1050">
        <v>14</v>
      </c>
      <c r="AC1050">
        <v>5.97</v>
      </c>
      <c r="AE1050" t="s">
        <v>346</v>
      </c>
      <c r="AF1050">
        <v>46.142674</v>
      </c>
      <c r="AG1050">
        <v>-115.598088</v>
      </c>
      <c r="AH1050">
        <v>15554982</v>
      </c>
      <c r="AI1050">
        <f>17-68258</f>
        <v>-68241</v>
      </c>
    </row>
    <row r="1051" spans="2:35">
      <c r="B1051" t="s">
        <v>345</v>
      </c>
      <c r="C1051" t="s">
        <v>1181</v>
      </c>
      <c r="D1051" s="3">
        <v>42850.359027777777</v>
      </c>
      <c r="F1051">
        <v>2017</v>
      </c>
      <c r="G1051" t="s">
        <v>574</v>
      </c>
      <c r="H1051" t="s">
        <v>352</v>
      </c>
      <c r="J1051">
        <v>0</v>
      </c>
      <c r="L1051">
        <v>1</v>
      </c>
      <c r="M1051">
        <v>105</v>
      </c>
      <c r="N1051">
        <v>12</v>
      </c>
      <c r="O1051" t="s">
        <v>575</v>
      </c>
      <c r="Q1051" t="s">
        <v>576</v>
      </c>
      <c r="R1051" t="s">
        <v>1183</v>
      </c>
      <c r="U1051">
        <v>6</v>
      </c>
      <c r="V1051">
        <v>6</v>
      </c>
      <c r="W1051" t="s">
        <v>350</v>
      </c>
      <c r="X1051" t="s">
        <v>349</v>
      </c>
      <c r="Y1051" t="s">
        <v>580</v>
      </c>
      <c r="Z1051">
        <v>2017</v>
      </c>
      <c r="AB1051">
        <v>14</v>
      </c>
      <c r="AC1051">
        <v>5.97</v>
      </c>
      <c r="AE1051" t="s">
        <v>346</v>
      </c>
      <c r="AF1051">
        <v>46.142674</v>
      </c>
      <c r="AG1051">
        <v>-115.598088</v>
      </c>
      <c r="AH1051">
        <v>15554983</v>
      </c>
    </row>
    <row r="1052" spans="2:35">
      <c r="B1052" t="s">
        <v>345</v>
      </c>
      <c r="C1052" t="s">
        <v>1181</v>
      </c>
      <c r="D1052" s="3">
        <v>42850.359027777777</v>
      </c>
      <c r="F1052">
        <v>2017</v>
      </c>
      <c r="G1052" t="s">
        <v>578</v>
      </c>
      <c r="H1052" t="s">
        <v>352</v>
      </c>
      <c r="J1052">
        <v>0</v>
      </c>
      <c r="L1052">
        <v>1</v>
      </c>
      <c r="M1052">
        <v>179</v>
      </c>
      <c r="N1052">
        <v>50</v>
      </c>
      <c r="O1052" t="s">
        <v>575</v>
      </c>
      <c r="Q1052" t="s">
        <v>1188</v>
      </c>
      <c r="R1052" t="s">
        <v>1183</v>
      </c>
      <c r="U1052">
        <v>6</v>
      </c>
      <c r="V1052">
        <v>6</v>
      </c>
      <c r="W1052" t="s">
        <v>350</v>
      </c>
      <c r="X1052" t="s">
        <v>349</v>
      </c>
      <c r="Y1052" t="s">
        <v>580</v>
      </c>
      <c r="Z1052">
        <v>2017</v>
      </c>
      <c r="AB1052">
        <v>14</v>
      </c>
      <c r="AC1052">
        <v>5.97</v>
      </c>
      <c r="AE1052" t="s">
        <v>346</v>
      </c>
      <c r="AF1052">
        <v>46.142674</v>
      </c>
      <c r="AG1052">
        <v>-115.598088</v>
      </c>
      <c r="AH1052">
        <v>15554984</v>
      </c>
      <c r="AI1052">
        <f>17-68281</f>
        <v>-68264</v>
      </c>
    </row>
    <row r="1053" spans="2:35">
      <c r="B1053" t="s">
        <v>345</v>
      </c>
      <c r="C1053" t="s">
        <v>1181</v>
      </c>
      <c r="D1053" s="3">
        <v>42850.359027777777</v>
      </c>
      <c r="F1053">
        <v>2017</v>
      </c>
      <c r="G1053" t="s">
        <v>578</v>
      </c>
      <c r="H1053" t="s">
        <v>352</v>
      </c>
      <c r="J1053">
        <v>0</v>
      </c>
      <c r="L1053">
        <v>1</v>
      </c>
      <c r="M1053">
        <v>151</v>
      </c>
      <c r="N1053">
        <v>33</v>
      </c>
      <c r="O1053" t="s">
        <v>575</v>
      </c>
      <c r="Q1053" t="s">
        <v>1189</v>
      </c>
      <c r="R1053" t="s">
        <v>1183</v>
      </c>
      <c r="U1053">
        <v>6</v>
      </c>
      <c r="V1053">
        <v>6</v>
      </c>
      <c r="W1053" t="s">
        <v>350</v>
      </c>
      <c r="X1053" t="s">
        <v>349</v>
      </c>
      <c r="Y1053" t="s">
        <v>580</v>
      </c>
      <c r="Z1053">
        <v>2017</v>
      </c>
      <c r="AB1053">
        <v>14</v>
      </c>
      <c r="AC1053">
        <v>5.97</v>
      </c>
      <c r="AE1053" t="s">
        <v>346</v>
      </c>
      <c r="AF1053">
        <v>46.142674</v>
      </c>
      <c r="AG1053">
        <v>-115.598088</v>
      </c>
      <c r="AH1053">
        <v>15554985</v>
      </c>
      <c r="AI1053">
        <f>17-68267</f>
        <v>-68250</v>
      </c>
    </row>
    <row r="1054" spans="2:35">
      <c r="B1054" t="s">
        <v>345</v>
      </c>
      <c r="C1054" t="s">
        <v>1181</v>
      </c>
      <c r="D1054" s="3">
        <v>42850.359027777777</v>
      </c>
      <c r="F1054">
        <v>2017</v>
      </c>
      <c r="G1054" t="s">
        <v>578</v>
      </c>
      <c r="H1054" t="s">
        <v>352</v>
      </c>
      <c r="J1054">
        <v>0</v>
      </c>
      <c r="L1054">
        <v>1</v>
      </c>
      <c r="M1054">
        <v>149</v>
      </c>
      <c r="N1054">
        <v>33</v>
      </c>
      <c r="O1054" t="s">
        <v>575</v>
      </c>
      <c r="Q1054" t="s">
        <v>1190</v>
      </c>
      <c r="R1054" t="s">
        <v>1183</v>
      </c>
      <c r="U1054">
        <v>6</v>
      </c>
      <c r="V1054">
        <v>6</v>
      </c>
      <c r="W1054" t="s">
        <v>350</v>
      </c>
      <c r="X1054" t="s">
        <v>349</v>
      </c>
      <c r="Y1054" t="s">
        <v>580</v>
      </c>
      <c r="Z1054">
        <v>2017</v>
      </c>
      <c r="AB1054">
        <v>14</v>
      </c>
      <c r="AC1054">
        <v>5.97</v>
      </c>
      <c r="AE1054" t="s">
        <v>346</v>
      </c>
      <c r="AF1054">
        <v>46.142674</v>
      </c>
      <c r="AG1054">
        <v>-115.598088</v>
      </c>
      <c r="AH1054">
        <v>15554986</v>
      </c>
      <c r="AI1054">
        <f>17-68270</f>
        <v>-68253</v>
      </c>
    </row>
    <row r="1055" spans="2:35">
      <c r="B1055" t="s">
        <v>345</v>
      </c>
      <c r="C1055" t="s">
        <v>1181</v>
      </c>
      <c r="D1055" s="3">
        <v>42850.359027777777</v>
      </c>
      <c r="F1055">
        <v>2017</v>
      </c>
      <c r="G1055" t="s">
        <v>578</v>
      </c>
      <c r="H1055" t="s">
        <v>352</v>
      </c>
      <c r="J1055">
        <v>0</v>
      </c>
      <c r="L1055">
        <v>1</v>
      </c>
      <c r="M1055">
        <v>176</v>
      </c>
      <c r="N1055">
        <v>48</v>
      </c>
      <c r="O1055" t="s">
        <v>575</v>
      </c>
      <c r="Q1055" t="s">
        <v>1191</v>
      </c>
      <c r="R1055" t="s">
        <v>1183</v>
      </c>
      <c r="U1055">
        <v>6</v>
      </c>
      <c r="V1055">
        <v>6</v>
      </c>
      <c r="W1055" t="s">
        <v>350</v>
      </c>
      <c r="X1055" t="s">
        <v>349</v>
      </c>
      <c r="Y1055" t="s">
        <v>580</v>
      </c>
      <c r="Z1055">
        <v>2017</v>
      </c>
      <c r="AB1055">
        <v>14</v>
      </c>
      <c r="AC1055">
        <v>5.97</v>
      </c>
      <c r="AE1055" t="s">
        <v>346</v>
      </c>
      <c r="AF1055">
        <v>46.142674</v>
      </c>
      <c r="AG1055">
        <v>-115.598088</v>
      </c>
      <c r="AH1055">
        <v>15554987</v>
      </c>
      <c r="AI1055">
        <f>17-68286</f>
        <v>-68269</v>
      </c>
    </row>
    <row r="1056" spans="2:35">
      <c r="B1056" t="s">
        <v>345</v>
      </c>
      <c r="C1056" t="s">
        <v>1181</v>
      </c>
      <c r="D1056" s="3">
        <v>42850.359027777777</v>
      </c>
      <c r="F1056">
        <v>2017</v>
      </c>
      <c r="G1056" t="s">
        <v>578</v>
      </c>
      <c r="H1056" t="s">
        <v>352</v>
      </c>
      <c r="J1056">
        <v>0</v>
      </c>
      <c r="L1056">
        <v>1</v>
      </c>
      <c r="M1056">
        <v>150</v>
      </c>
      <c r="N1056">
        <v>29</v>
      </c>
      <c r="O1056" t="s">
        <v>575</v>
      </c>
      <c r="Q1056" t="s">
        <v>1192</v>
      </c>
      <c r="R1056" t="s">
        <v>1183</v>
      </c>
      <c r="U1056">
        <v>6</v>
      </c>
      <c r="V1056">
        <v>6</v>
      </c>
      <c r="W1056" t="s">
        <v>350</v>
      </c>
      <c r="X1056" t="s">
        <v>349</v>
      </c>
      <c r="Y1056" t="s">
        <v>580</v>
      </c>
      <c r="Z1056">
        <v>2017</v>
      </c>
      <c r="AB1056">
        <v>14</v>
      </c>
      <c r="AC1056">
        <v>5.97</v>
      </c>
      <c r="AE1056" t="s">
        <v>346</v>
      </c>
      <c r="AF1056">
        <v>46.142674</v>
      </c>
      <c r="AG1056">
        <v>-115.598088</v>
      </c>
      <c r="AH1056">
        <v>15554988</v>
      </c>
      <c r="AI1056">
        <f>17-68284</f>
        <v>-68267</v>
      </c>
    </row>
    <row r="1057" spans="2:35">
      <c r="B1057" t="s">
        <v>345</v>
      </c>
      <c r="C1057" t="s">
        <v>1181</v>
      </c>
      <c r="D1057" s="3">
        <v>42850.359027777777</v>
      </c>
      <c r="F1057">
        <v>2017</v>
      </c>
      <c r="G1057" t="s">
        <v>578</v>
      </c>
      <c r="H1057" t="s">
        <v>352</v>
      </c>
      <c r="J1057">
        <v>0</v>
      </c>
      <c r="L1057">
        <v>1</v>
      </c>
      <c r="M1057">
        <v>191</v>
      </c>
      <c r="N1057">
        <v>62</v>
      </c>
      <c r="O1057" t="s">
        <v>575</v>
      </c>
      <c r="Q1057" t="s">
        <v>1193</v>
      </c>
      <c r="R1057" t="s">
        <v>1183</v>
      </c>
      <c r="U1057">
        <v>6</v>
      </c>
      <c r="V1057">
        <v>6</v>
      </c>
      <c r="W1057" t="s">
        <v>350</v>
      </c>
      <c r="X1057" t="s">
        <v>349</v>
      </c>
      <c r="Y1057" t="s">
        <v>580</v>
      </c>
      <c r="Z1057">
        <v>2017</v>
      </c>
      <c r="AB1057">
        <v>14</v>
      </c>
      <c r="AC1057">
        <v>5.97</v>
      </c>
      <c r="AE1057" t="s">
        <v>346</v>
      </c>
      <c r="AF1057">
        <v>46.142674</v>
      </c>
      <c r="AG1057">
        <v>-115.598088</v>
      </c>
      <c r="AH1057">
        <v>15554989</v>
      </c>
      <c r="AI1057">
        <f>17-68257</f>
        <v>-68240</v>
      </c>
    </row>
    <row r="1058" spans="2:35">
      <c r="B1058" t="s">
        <v>345</v>
      </c>
      <c r="C1058" t="s">
        <v>1181</v>
      </c>
      <c r="D1058" s="3">
        <v>42850.359027777777</v>
      </c>
      <c r="F1058">
        <v>2017</v>
      </c>
      <c r="G1058" t="s">
        <v>578</v>
      </c>
      <c r="H1058" t="s">
        <v>352</v>
      </c>
      <c r="J1058">
        <v>0</v>
      </c>
      <c r="L1058">
        <v>1</v>
      </c>
      <c r="M1058">
        <v>161</v>
      </c>
      <c r="N1058">
        <v>37</v>
      </c>
      <c r="O1058" t="s">
        <v>575</v>
      </c>
      <c r="Q1058" t="s">
        <v>1194</v>
      </c>
      <c r="R1058" t="s">
        <v>1183</v>
      </c>
      <c r="U1058">
        <v>6</v>
      </c>
      <c r="V1058">
        <v>6</v>
      </c>
      <c r="W1058" t="s">
        <v>350</v>
      </c>
      <c r="X1058" t="s">
        <v>349</v>
      </c>
      <c r="Y1058" t="s">
        <v>580</v>
      </c>
      <c r="Z1058">
        <v>2017</v>
      </c>
      <c r="AB1058">
        <v>14</v>
      </c>
      <c r="AC1058">
        <v>5.97</v>
      </c>
      <c r="AE1058" t="s">
        <v>346</v>
      </c>
      <c r="AF1058">
        <v>46.142674</v>
      </c>
      <c r="AG1058">
        <v>-115.598088</v>
      </c>
      <c r="AH1058">
        <v>15554990</v>
      </c>
      <c r="AI1058">
        <f>17-68278</f>
        <v>-68261</v>
      </c>
    </row>
    <row r="1059" spans="2:35">
      <c r="B1059" t="s">
        <v>345</v>
      </c>
      <c r="C1059" t="s">
        <v>1181</v>
      </c>
      <c r="D1059" s="3">
        <v>42850.359027777777</v>
      </c>
      <c r="F1059">
        <v>2017</v>
      </c>
      <c r="G1059" t="s">
        <v>578</v>
      </c>
      <c r="H1059" t="s">
        <v>352</v>
      </c>
      <c r="J1059">
        <v>0</v>
      </c>
      <c r="L1059">
        <v>1</v>
      </c>
      <c r="M1059">
        <v>172</v>
      </c>
      <c r="N1059">
        <v>45</v>
      </c>
      <c r="O1059" t="s">
        <v>575</v>
      </c>
      <c r="Q1059" t="s">
        <v>1195</v>
      </c>
      <c r="R1059" t="s">
        <v>1183</v>
      </c>
      <c r="U1059">
        <v>6</v>
      </c>
      <c r="V1059">
        <v>6</v>
      </c>
      <c r="W1059" t="s">
        <v>350</v>
      </c>
      <c r="X1059" t="s">
        <v>349</v>
      </c>
      <c r="Y1059" t="s">
        <v>580</v>
      </c>
      <c r="Z1059">
        <v>2017</v>
      </c>
      <c r="AB1059">
        <v>14</v>
      </c>
      <c r="AC1059">
        <v>5.97</v>
      </c>
      <c r="AE1059" t="s">
        <v>346</v>
      </c>
      <c r="AF1059">
        <v>46.142674</v>
      </c>
      <c r="AG1059">
        <v>-115.598088</v>
      </c>
      <c r="AH1059">
        <v>15554991</v>
      </c>
      <c r="AI1059">
        <f>17-68268</f>
        <v>-68251</v>
      </c>
    </row>
    <row r="1060" spans="2:35">
      <c r="B1060" t="s">
        <v>345</v>
      </c>
      <c r="C1060" t="s">
        <v>1181</v>
      </c>
      <c r="D1060" s="3">
        <v>42850.359027777777</v>
      </c>
      <c r="F1060">
        <v>2017</v>
      </c>
      <c r="G1060" t="s">
        <v>578</v>
      </c>
      <c r="H1060" t="s">
        <v>352</v>
      </c>
      <c r="J1060">
        <v>0</v>
      </c>
      <c r="L1060">
        <v>1</v>
      </c>
      <c r="M1060">
        <v>192</v>
      </c>
      <c r="N1060">
        <v>60</v>
      </c>
      <c r="O1060" t="s">
        <v>575</v>
      </c>
      <c r="Q1060" t="s">
        <v>1196</v>
      </c>
      <c r="R1060" t="s">
        <v>1183</v>
      </c>
      <c r="U1060">
        <v>6</v>
      </c>
      <c r="V1060">
        <v>6</v>
      </c>
      <c r="W1060" t="s">
        <v>350</v>
      </c>
      <c r="X1060" t="s">
        <v>349</v>
      </c>
      <c r="Y1060" t="s">
        <v>580</v>
      </c>
      <c r="Z1060">
        <v>2017</v>
      </c>
      <c r="AB1060">
        <v>14</v>
      </c>
      <c r="AC1060">
        <v>5.97</v>
      </c>
      <c r="AE1060" t="s">
        <v>346</v>
      </c>
      <c r="AF1060">
        <v>46.142674</v>
      </c>
      <c r="AG1060">
        <v>-115.598088</v>
      </c>
      <c r="AH1060">
        <v>15554992</v>
      </c>
      <c r="AI1060">
        <f>17-68285</f>
        <v>-68268</v>
      </c>
    </row>
    <row r="1061" spans="2:35">
      <c r="B1061" t="s">
        <v>345</v>
      </c>
      <c r="C1061" t="s">
        <v>1181</v>
      </c>
      <c r="D1061" s="3">
        <v>42850.359027777777</v>
      </c>
      <c r="F1061">
        <v>2017</v>
      </c>
      <c r="G1061" t="s">
        <v>578</v>
      </c>
      <c r="H1061" t="s">
        <v>352</v>
      </c>
      <c r="J1061">
        <v>0</v>
      </c>
      <c r="L1061">
        <v>1</v>
      </c>
      <c r="M1061">
        <v>181</v>
      </c>
      <c r="N1061">
        <v>50</v>
      </c>
      <c r="O1061" t="s">
        <v>575</v>
      </c>
      <c r="Q1061" t="s">
        <v>1197</v>
      </c>
      <c r="R1061" t="s">
        <v>1183</v>
      </c>
      <c r="U1061">
        <v>6</v>
      </c>
      <c r="V1061">
        <v>6</v>
      </c>
      <c r="W1061" t="s">
        <v>350</v>
      </c>
      <c r="X1061" t="s">
        <v>349</v>
      </c>
      <c r="Y1061" t="s">
        <v>580</v>
      </c>
      <c r="Z1061">
        <v>2017</v>
      </c>
      <c r="AB1061">
        <v>14</v>
      </c>
      <c r="AC1061">
        <v>5.97</v>
      </c>
      <c r="AE1061" t="s">
        <v>346</v>
      </c>
      <c r="AF1061">
        <v>46.142674</v>
      </c>
      <c r="AG1061">
        <v>-115.598088</v>
      </c>
      <c r="AH1061">
        <v>15554993</v>
      </c>
      <c r="AI1061">
        <f>17-68259</f>
        <v>-68242</v>
      </c>
    </row>
    <row r="1062" spans="2:35">
      <c r="B1062" t="s">
        <v>345</v>
      </c>
      <c r="C1062" t="s">
        <v>1181</v>
      </c>
      <c r="D1062" s="3">
        <v>42850.359027777777</v>
      </c>
      <c r="F1062">
        <v>2017</v>
      </c>
      <c r="G1062" t="s">
        <v>578</v>
      </c>
      <c r="H1062" t="s">
        <v>352</v>
      </c>
      <c r="J1062">
        <v>0</v>
      </c>
      <c r="L1062">
        <v>1</v>
      </c>
      <c r="M1062">
        <v>145</v>
      </c>
      <c r="N1062">
        <v>27</v>
      </c>
      <c r="O1062" t="s">
        <v>575</v>
      </c>
      <c r="Q1062" t="s">
        <v>1198</v>
      </c>
      <c r="R1062" t="s">
        <v>1183</v>
      </c>
      <c r="U1062">
        <v>6</v>
      </c>
      <c r="V1062">
        <v>6</v>
      </c>
      <c r="W1062" t="s">
        <v>350</v>
      </c>
      <c r="X1062" t="s">
        <v>349</v>
      </c>
      <c r="Y1062" t="s">
        <v>580</v>
      </c>
      <c r="Z1062">
        <v>2017</v>
      </c>
      <c r="AB1062">
        <v>14</v>
      </c>
      <c r="AC1062">
        <v>5.97</v>
      </c>
      <c r="AE1062" t="s">
        <v>346</v>
      </c>
      <c r="AF1062">
        <v>46.142674</v>
      </c>
      <c r="AG1062">
        <v>-115.598088</v>
      </c>
      <c r="AH1062">
        <v>15554994</v>
      </c>
      <c r="AI1062">
        <f>17-68260</f>
        <v>-68243</v>
      </c>
    </row>
    <row r="1063" spans="2:35">
      <c r="B1063" t="s">
        <v>345</v>
      </c>
      <c r="C1063" t="s">
        <v>1181</v>
      </c>
      <c r="D1063" s="3">
        <v>42850.359027777777</v>
      </c>
      <c r="F1063">
        <v>2017</v>
      </c>
      <c r="G1063" t="s">
        <v>578</v>
      </c>
      <c r="H1063" t="s">
        <v>352</v>
      </c>
      <c r="J1063">
        <v>0</v>
      </c>
      <c r="L1063">
        <v>1</v>
      </c>
      <c r="M1063">
        <v>173</v>
      </c>
      <c r="N1063">
        <v>46</v>
      </c>
      <c r="O1063" t="s">
        <v>575</v>
      </c>
      <c r="Q1063" t="s">
        <v>1199</v>
      </c>
      <c r="R1063" t="s">
        <v>1183</v>
      </c>
      <c r="U1063">
        <v>6</v>
      </c>
      <c r="V1063">
        <v>6</v>
      </c>
      <c r="W1063" t="s">
        <v>350</v>
      </c>
      <c r="X1063" t="s">
        <v>349</v>
      </c>
      <c r="Y1063" t="s">
        <v>580</v>
      </c>
      <c r="Z1063">
        <v>2017</v>
      </c>
      <c r="AB1063">
        <v>14</v>
      </c>
      <c r="AC1063">
        <v>5.97</v>
      </c>
      <c r="AE1063" t="s">
        <v>346</v>
      </c>
      <c r="AF1063">
        <v>46.142674</v>
      </c>
      <c r="AG1063">
        <v>-115.598088</v>
      </c>
      <c r="AH1063">
        <v>15554995</v>
      </c>
      <c r="AI1063">
        <f>17-68261</f>
        <v>-68244</v>
      </c>
    </row>
    <row r="1064" spans="2:35">
      <c r="B1064" t="s">
        <v>345</v>
      </c>
      <c r="C1064" t="s">
        <v>1181</v>
      </c>
      <c r="D1064" s="3">
        <v>42850.359027777777</v>
      </c>
      <c r="F1064">
        <v>2017</v>
      </c>
      <c r="G1064" t="s">
        <v>578</v>
      </c>
      <c r="H1064" t="s">
        <v>352</v>
      </c>
      <c r="J1064">
        <v>0</v>
      </c>
      <c r="L1064">
        <v>1</v>
      </c>
      <c r="M1064">
        <v>184</v>
      </c>
      <c r="N1064">
        <v>49</v>
      </c>
      <c r="O1064" t="s">
        <v>575</v>
      </c>
      <c r="Q1064" t="s">
        <v>1200</v>
      </c>
      <c r="R1064" t="s">
        <v>1183</v>
      </c>
      <c r="U1064">
        <v>6</v>
      </c>
      <c r="V1064">
        <v>6</v>
      </c>
      <c r="W1064" t="s">
        <v>350</v>
      </c>
      <c r="X1064" t="s">
        <v>349</v>
      </c>
      <c r="Y1064" t="s">
        <v>580</v>
      </c>
      <c r="Z1064">
        <v>2017</v>
      </c>
      <c r="AB1064">
        <v>14</v>
      </c>
      <c r="AC1064">
        <v>5.97</v>
      </c>
      <c r="AE1064" t="s">
        <v>346</v>
      </c>
      <c r="AF1064">
        <v>46.142674</v>
      </c>
      <c r="AG1064">
        <v>-115.598088</v>
      </c>
      <c r="AH1064">
        <v>15554996</v>
      </c>
      <c r="AI1064">
        <f>17-68283</f>
        <v>-68266</v>
      </c>
    </row>
    <row r="1065" spans="2:35">
      <c r="B1065" t="s">
        <v>345</v>
      </c>
      <c r="C1065" t="s">
        <v>1181</v>
      </c>
      <c r="D1065" s="3">
        <v>42850.359027777777</v>
      </c>
      <c r="F1065">
        <v>2017</v>
      </c>
      <c r="G1065" t="s">
        <v>578</v>
      </c>
      <c r="H1065" t="s">
        <v>352</v>
      </c>
      <c r="J1065">
        <v>0</v>
      </c>
      <c r="L1065">
        <v>1</v>
      </c>
      <c r="M1065">
        <v>160</v>
      </c>
      <c r="N1065">
        <v>36</v>
      </c>
      <c r="O1065" t="s">
        <v>575</v>
      </c>
      <c r="Q1065" t="s">
        <v>1201</v>
      </c>
      <c r="R1065" t="s">
        <v>1183</v>
      </c>
      <c r="U1065">
        <v>6</v>
      </c>
      <c r="V1065">
        <v>6</v>
      </c>
      <c r="W1065" t="s">
        <v>350</v>
      </c>
      <c r="X1065" t="s">
        <v>349</v>
      </c>
      <c r="Y1065" t="s">
        <v>580</v>
      </c>
      <c r="Z1065">
        <v>2017</v>
      </c>
      <c r="AB1065">
        <v>14</v>
      </c>
      <c r="AC1065">
        <v>5.97</v>
      </c>
      <c r="AE1065" t="s">
        <v>346</v>
      </c>
      <c r="AF1065">
        <v>46.142674</v>
      </c>
      <c r="AG1065">
        <v>-115.598088</v>
      </c>
      <c r="AH1065">
        <v>15554997</v>
      </c>
      <c r="AI1065">
        <f>17-68264</f>
        <v>-68247</v>
      </c>
    </row>
    <row r="1066" spans="2:35">
      <c r="B1066" t="s">
        <v>345</v>
      </c>
      <c r="C1066" t="s">
        <v>1181</v>
      </c>
      <c r="D1066" s="3">
        <v>42850.359027777777</v>
      </c>
      <c r="F1066">
        <v>2017</v>
      </c>
      <c r="G1066" t="s">
        <v>578</v>
      </c>
      <c r="H1066" t="s">
        <v>352</v>
      </c>
      <c r="J1066">
        <v>0</v>
      </c>
      <c r="L1066">
        <v>1</v>
      </c>
      <c r="M1066">
        <v>178</v>
      </c>
      <c r="N1066">
        <v>48</v>
      </c>
      <c r="O1066" t="s">
        <v>575</v>
      </c>
      <c r="Q1066" t="s">
        <v>1202</v>
      </c>
      <c r="R1066" t="s">
        <v>1183</v>
      </c>
      <c r="U1066">
        <v>6</v>
      </c>
      <c r="V1066">
        <v>6</v>
      </c>
      <c r="W1066" t="s">
        <v>350</v>
      </c>
      <c r="X1066" t="s">
        <v>349</v>
      </c>
      <c r="Y1066" t="s">
        <v>580</v>
      </c>
      <c r="Z1066">
        <v>2017</v>
      </c>
      <c r="AB1066">
        <v>14</v>
      </c>
      <c r="AC1066">
        <v>5.97</v>
      </c>
      <c r="AE1066" t="s">
        <v>346</v>
      </c>
      <c r="AF1066">
        <v>46.142674</v>
      </c>
      <c r="AG1066">
        <v>-115.598088</v>
      </c>
      <c r="AH1066">
        <v>15554998</v>
      </c>
      <c r="AI1066">
        <f>17-68282</f>
        <v>-68265</v>
      </c>
    </row>
    <row r="1067" spans="2:35">
      <c r="B1067" t="s">
        <v>345</v>
      </c>
      <c r="C1067" t="s">
        <v>1181</v>
      </c>
      <c r="D1067" s="3">
        <v>42850.359027777777</v>
      </c>
      <c r="F1067">
        <v>2017</v>
      </c>
      <c r="G1067" t="s">
        <v>578</v>
      </c>
      <c r="H1067" t="s">
        <v>352</v>
      </c>
      <c r="J1067">
        <v>0</v>
      </c>
      <c r="L1067">
        <v>1</v>
      </c>
      <c r="M1067">
        <v>184</v>
      </c>
      <c r="N1067">
        <v>54</v>
      </c>
      <c r="O1067" t="s">
        <v>575</v>
      </c>
      <c r="Q1067" t="s">
        <v>1203</v>
      </c>
      <c r="R1067" t="s">
        <v>1183</v>
      </c>
      <c r="U1067">
        <v>6</v>
      </c>
      <c r="V1067">
        <v>6</v>
      </c>
      <c r="W1067" t="s">
        <v>350</v>
      </c>
      <c r="X1067" t="s">
        <v>349</v>
      </c>
      <c r="Y1067" t="s">
        <v>580</v>
      </c>
      <c r="Z1067">
        <v>2017</v>
      </c>
      <c r="AB1067">
        <v>14</v>
      </c>
      <c r="AC1067">
        <v>5.97</v>
      </c>
      <c r="AE1067" t="s">
        <v>346</v>
      </c>
      <c r="AF1067">
        <v>46.142674</v>
      </c>
      <c r="AG1067">
        <v>-115.598088</v>
      </c>
      <c r="AH1067">
        <v>15554999</v>
      </c>
      <c r="AI1067">
        <f>17-68274</f>
        <v>-68257</v>
      </c>
    </row>
    <row r="1068" spans="2:35">
      <c r="B1068" t="s">
        <v>345</v>
      </c>
      <c r="C1068" t="s">
        <v>1181</v>
      </c>
      <c r="D1068" s="3">
        <v>42850.359027777777</v>
      </c>
      <c r="F1068">
        <v>2017</v>
      </c>
      <c r="G1068" t="s">
        <v>578</v>
      </c>
      <c r="H1068" t="s">
        <v>352</v>
      </c>
      <c r="J1068">
        <v>0</v>
      </c>
      <c r="L1068">
        <v>1</v>
      </c>
      <c r="M1068">
        <v>167</v>
      </c>
      <c r="N1068">
        <v>40</v>
      </c>
      <c r="O1068" t="s">
        <v>575</v>
      </c>
      <c r="Q1068" t="s">
        <v>1204</v>
      </c>
      <c r="R1068" t="s">
        <v>1183</v>
      </c>
      <c r="U1068">
        <v>6</v>
      </c>
      <c r="V1068">
        <v>6</v>
      </c>
      <c r="W1068" t="s">
        <v>350</v>
      </c>
      <c r="X1068" t="s">
        <v>349</v>
      </c>
      <c r="Y1068" t="s">
        <v>580</v>
      </c>
      <c r="Z1068">
        <v>2017</v>
      </c>
      <c r="AB1068">
        <v>14</v>
      </c>
      <c r="AC1068">
        <v>5.97</v>
      </c>
      <c r="AE1068" t="s">
        <v>346</v>
      </c>
      <c r="AF1068">
        <v>46.142674</v>
      </c>
      <c r="AG1068">
        <v>-115.598088</v>
      </c>
      <c r="AH1068">
        <v>15555000</v>
      </c>
      <c r="AI1068">
        <f>17-68263</f>
        <v>-68246</v>
      </c>
    </row>
    <row r="1069" spans="2:35">
      <c r="B1069" t="s">
        <v>345</v>
      </c>
      <c r="C1069" t="s">
        <v>1181</v>
      </c>
      <c r="D1069" s="3">
        <v>42850.359027777777</v>
      </c>
      <c r="F1069">
        <v>2017</v>
      </c>
      <c r="G1069" t="s">
        <v>578</v>
      </c>
      <c r="H1069" t="s">
        <v>352</v>
      </c>
      <c r="J1069">
        <v>0</v>
      </c>
      <c r="L1069">
        <v>1</v>
      </c>
      <c r="M1069">
        <v>176</v>
      </c>
      <c r="N1069">
        <v>42</v>
      </c>
      <c r="O1069" t="s">
        <v>575</v>
      </c>
      <c r="Q1069" t="s">
        <v>1205</v>
      </c>
      <c r="R1069" t="s">
        <v>1183</v>
      </c>
      <c r="U1069">
        <v>6</v>
      </c>
      <c r="V1069">
        <v>6</v>
      </c>
      <c r="W1069" t="s">
        <v>350</v>
      </c>
      <c r="X1069" t="s">
        <v>349</v>
      </c>
      <c r="Y1069" t="s">
        <v>580</v>
      </c>
      <c r="Z1069">
        <v>2017</v>
      </c>
      <c r="AB1069">
        <v>14</v>
      </c>
      <c r="AC1069">
        <v>5.97</v>
      </c>
      <c r="AE1069" t="s">
        <v>346</v>
      </c>
      <c r="AF1069">
        <v>46.142674</v>
      </c>
      <c r="AG1069">
        <v>-115.598088</v>
      </c>
      <c r="AH1069">
        <v>15555001</v>
      </c>
      <c r="AI1069">
        <f>17-68276</f>
        <v>-68259</v>
      </c>
    </row>
    <row r="1070" spans="2:35">
      <c r="B1070" t="s">
        <v>345</v>
      </c>
      <c r="C1070" t="s">
        <v>1181</v>
      </c>
      <c r="D1070" s="3">
        <v>42850.359027777777</v>
      </c>
      <c r="F1070">
        <v>2017</v>
      </c>
      <c r="G1070" t="s">
        <v>578</v>
      </c>
      <c r="H1070" t="s">
        <v>352</v>
      </c>
      <c r="J1070">
        <v>0</v>
      </c>
      <c r="L1070">
        <v>1</v>
      </c>
      <c r="M1070">
        <v>174</v>
      </c>
      <c r="N1070">
        <v>44</v>
      </c>
      <c r="O1070" t="s">
        <v>575</v>
      </c>
      <c r="Q1070" t="s">
        <v>1206</v>
      </c>
      <c r="R1070" t="s">
        <v>1183</v>
      </c>
      <c r="U1070">
        <v>6</v>
      </c>
      <c r="V1070">
        <v>6</v>
      </c>
      <c r="W1070" t="s">
        <v>350</v>
      </c>
      <c r="X1070" t="s">
        <v>349</v>
      </c>
      <c r="Y1070" t="s">
        <v>580</v>
      </c>
      <c r="Z1070">
        <v>2017</v>
      </c>
      <c r="AB1070">
        <v>14</v>
      </c>
      <c r="AC1070">
        <v>5.97</v>
      </c>
      <c r="AE1070" t="s">
        <v>346</v>
      </c>
      <c r="AF1070">
        <v>46.142674</v>
      </c>
      <c r="AG1070">
        <v>-115.598088</v>
      </c>
      <c r="AH1070">
        <v>15555002</v>
      </c>
      <c r="AI1070">
        <f>17-68266</f>
        <v>-68249</v>
      </c>
    </row>
    <row r="1071" spans="2:35">
      <c r="B1071" t="s">
        <v>345</v>
      </c>
      <c r="C1071" t="s">
        <v>1181</v>
      </c>
      <c r="D1071" s="3">
        <v>42850.359027777777</v>
      </c>
      <c r="F1071">
        <v>2017</v>
      </c>
      <c r="G1071" t="s">
        <v>578</v>
      </c>
      <c r="H1071" t="s">
        <v>352</v>
      </c>
      <c r="J1071">
        <v>0</v>
      </c>
      <c r="L1071">
        <v>1</v>
      </c>
      <c r="M1071">
        <v>184</v>
      </c>
      <c r="N1071">
        <v>56</v>
      </c>
      <c r="O1071" t="s">
        <v>575</v>
      </c>
      <c r="Q1071" t="s">
        <v>1207</v>
      </c>
      <c r="R1071" t="s">
        <v>1183</v>
      </c>
      <c r="U1071">
        <v>6</v>
      </c>
      <c r="V1071">
        <v>6</v>
      </c>
      <c r="W1071" t="s">
        <v>350</v>
      </c>
      <c r="X1071" t="s">
        <v>349</v>
      </c>
      <c r="Y1071" t="s">
        <v>580</v>
      </c>
      <c r="Z1071">
        <v>2017</v>
      </c>
      <c r="AB1071">
        <v>14</v>
      </c>
      <c r="AC1071">
        <v>5.97</v>
      </c>
      <c r="AE1071" t="s">
        <v>346</v>
      </c>
      <c r="AF1071">
        <v>46.142674</v>
      </c>
      <c r="AG1071">
        <v>-115.598088</v>
      </c>
      <c r="AH1071">
        <v>15555003</v>
      </c>
      <c r="AI1071">
        <f>17-68280</f>
        <v>-68263</v>
      </c>
    </row>
    <row r="1072" spans="2:35">
      <c r="B1072" t="s">
        <v>345</v>
      </c>
      <c r="C1072" t="s">
        <v>1181</v>
      </c>
      <c r="D1072" s="3">
        <v>42850.359027777777</v>
      </c>
      <c r="F1072">
        <v>2017</v>
      </c>
      <c r="G1072" t="s">
        <v>605</v>
      </c>
      <c r="H1072" t="s">
        <v>352</v>
      </c>
      <c r="J1072">
        <v>0</v>
      </c>
      <c r="L1072">
        <v>1</v>
      </c>
      <c r="M1072">
        <v>79</v>
      </c>
      <c r="N1072">
        <v>5</v>
      </c>
      <c r="O1072" t="s">
        <v>353</v>
      </c>
      <c r="R1072" t="s">
        <v>1183</v>
      </c>
      <c r="U1072">
        <v>6</v>
      </c>
      <c r="V1072">
        <v>6</v>
      </c>
      <c r="W1072" t="s">
        <v>350</v>
      </c>
      <c r="X1072" t="s">
        <v>349</v>
      </c>
      <c r="Y1072" t="s">
        <v>580</v>
      </c>
      <c r="Z1072">
        <v>2017</v>
      </c>
      <c r="AB1072">
        <v>14</v>
      </c>
      <c r="AC1072">
        <v>5.97</v>
      </c>
      <c r="AE1072" t="s">
        <v>346</v>
      </c>
      <c r="AF1072">
        <v>46.142674</v>
      </c>
      <c r="AG1072">
        <v>-115.598088</v>
      </c>
      <c r="AH1072">
        <v>15555004</v>
      </c>
    </row>
    <row r="1073" spans="2:35">
      <c r="B1073" t="s">
        <v>345</v>
      </c>
      <c r="C1073" t="s">
        <v>1181</v>
      </c>
      <c r="D1073" s="3">
        <v>42850.359027777777</v>
      </c>
      <c r="F1073">
        <v>2017</v>
      </c>
      <c r="G1073" t="s">
        <v>578</v>
      </c>
      <c r="H1073" t="s">
        <v>352</v>
      </c>
      <c r="J1073">
        <v>0</v>
      </c>
      <c r="L1073">
        <v>1</v>
      </c>
      <c r="M1073">
        <v>139</v>
      </c>
      <c r="N1073">
        <v>25</v>
      </c>
      <c r="O1073" t="s">
        <v>575</v>
      </c>
      <c r="Q1073" t="s">
        <v>1208</v>
      </c>
      <c r="R1073" t="s">
        <v>1183</v>
      </c>
      <c r="U1073">
        <v>6</v>
      </c>
      <c r="V1073">
        <v>6</v>
      </c>
      <c r="W1073" t="s">
        <v>350</v>
      </c>
      <c r="X1073" t="s">
        <v>349</v>
      </c>
      <c r="Y1073" t="s">
        <v>580</v>
      </c>
      <c r="Z1073">
        <v>2017</v>
      </c>
      <c r="AB1073">
        <v>14</v>
      </c>
      <c r="AC1073">
        <v>5.97</v>
      </c>
      <c r="AE1073" t="s">
        <v>346</v>
      </c>
      <c r="AF1073">
        <v>46.142674</v>
      </c>
      <c r="AG1073">
        <v>-115.598088</v>
      </c>
      <c r="AH1073">
        <v>15555005</v>
      </c>
      <c r="AI1073">
        <f>17-68272</f>
        <v>-68255</v>
      </c>
    </row>
    <row r="1074" spans="2:35">
      <c r="B1074" t="s">
        <v>345</v>
      </c>
      <c r="C1074" t="s">
        <v>1181</v>
      </c>
      <c r="D1074" s="3">
        <v>42850.359027777777</v>
      </c>
      <c r="F1074">
        <v>2017</v>
      </c>
      <c r="G1074" t="s">
        <v>578</v>
      </c>
      <c r="H1074" t="s">
        <v>352</v>
      </c>
      <c r="J1074">
        <v>0</v>
      </c>
      <c r="L1074">
        <v>1</v>
      </c>
      <c r="M1074">
        <v>171</v>
      </c>
      <c r="N1074">
        <v>46</v>
      </c>
      <c r="O1074" t="s">
        <v>575</v>
      </c>
      <c r="Q1074" t="s">
        <v>1209</v>
      </c>
      <c r="R1074" t="s">
        <v>1183</v>
      </c>
      <c r="U1074">
        <v>6</v>
      </c>
      <c r="V1074">
        <v>6</v>
      </c>
      <c r="W1074" t="s">
        <v>350</v>
      </c>
      <c r="X1074" t="s">
        <v>349</v>
      </c>
      <c r="Y1074" t="s">
        <v>580</v>
      </c>
      <c r="Z1074">
        <v>2017</v>
      </c>
      <c r="AB1074">
        <v>14</v>
      </c>
      <c r="AC1074">
        <v>5.97</v>
      </c>
      <c r="AE1074" t="s">
        <v>346</v>
      </c>
      <c r="AF1074">
        <v>46.142674</v>
      </c>
      <c r="AG1074">
        <v>-115.598088</v>
      </c>
      <c r="AH1074">
        <v>15555006</v>
      </c>
      <c r="AI1074">
        <f>17-68269</f>
        <v>-68252</v>
      </c>
    </row>
    <row r="1075" spans="2:35">
      <c r="B1075" t="s">
        <v>345</v>
      </c>
      <c r="C1075" t="s">
        <v>1181</v>
      </c>
      <c r="D1075" s="3">
        <v>42850.359027777777</v>
      </c>
      <c r="F1075">
        <v>2017</v>
      </c>
      <c r="G1075" t="s">
        <v>578</v>
      </c>
      <c r="H1075" t="s">
        <v>352</v>
      </c>
      <c r="J1075">
        <v>0</v>
      </c>
      <c r="L1075">
        <v>1</v>
      </c>
      <c r="M1075">
        <v>170</v>
      </c>
      <c r="N1075">
        <v>43</v>
      </c>
      <c r="O1075" t="s">
        <v>575</v>
      </c>
      <c r="Q1075" t="s">
        <v>1210</v>
      </c>
      <c r="R1075" t="s">
        <v>1183</v>
      </c>
      <c r="U1075">
        <v>6</v>
      </c>
      <c r="V1075">
        <v>6</v>
      </c>
      <c r="W1075" t="s">
        <v>350</v>
      </c>
      <c r="X1075" t="s">
        <v>349</v>
      </c>
      <c r="Y1075" t="s">
        <v>580</v>
      </c>
      <c r="Z1075">
        <v>2017</v>
      </c>
      <c r="AB1075">
        <v>14</v>
      </c>
      <c r="AC1075">
        <v>5.97</v>
      </c>
      <c r="AE1075" t="s">
        <v>346</v>
      </c>
      <c r="AF1075">
        <v>46.142674</v>
      </c>
      <c r="AG1075">
        <v>-115.598088</v>
      </c>
      <c r="AH1075">
        <v>15555007</v>
      </c>
      <c r="AI1075">
        <f>17-68271</f>
        <v>-68254</v>
      </c>
    </row>
    <row r="1076" spans="2:35">
      <c r="B1076" t="s">
        <v>345</v>
      </c>
      <c r="C1076" t="s">
        <v>1181</v>
      </c>
      <c r="D1076" s="3">
        <v>42850.359027777777</v>
      </c>
      <c r="F1076">
        <v>2017</v>
      </c>
      <c r="G1076" t="s">
        <v>578</v>
      </c>
      <c r="H1076" t="s">
        <v>352</v>
      </c>
      <c r="J1076">
        <v>0</v>
      </c>
      <c r="L1076">
        <v>1</v>
      </c>
      <c r="M1076">
        <v>194</v>
      </c>
      <c r="N1076">
        <v>65</v>
      </c>
      <c r="O1076" t="s">
        <v>575</v>
      </c>
      <c r="Q1076" t="s">
        <v>1211</v>
      </c>
      <c r="R1076" t="s">
        <v>1183</v>
      </c>
      <c r="U1076">
        <v>6</v>
      </c>
      <c r="V1076">
        <v>6</v>
      </c>
      <c r="W1076" t="s">
        <v>350</v>
      </c>
      <c r="X1076" t="s">
        <v>349</v>
      </c>
      <c r="Y1076" t="s">
        <v>580</v>
      </c>
      <c r="Z1076">
        <v>2017</v>
      </c>
      <c r="AB1076">
        <v>14</v>
      </c>
      <c r="AC1076">
        <v>5.97</v>
      </c>
      <c r="AE1076" t="s">
        <v>346</v>
      </c>
      <c r="AF1076">
        <v>46.142674</v>
      </c>
      <c r="AG1076">
        <v>-115.598088</v>
      </c>
      <c r="AH1076">
        <v>15555008</v>
      </c>
      <c r="AI1076">
        <f>17-68275</f>
        <v>-68258</v>
      </c>
    </row>
    <row r="1077" spans="2:35">
      <c r="B1077" t="s">
        <v>345</v>
      </c>
      <c r="C1077" t="s">
        <v>1181</v>
      </c>
      <c r="D1077" s="3">
        <v>42850.359027777777</v>
      </c>
      <c r="F1077">
        <v>2017</v>
      </c>
      <c r="G1077" t="s">
        <v>578</v>
      </c>
      <c r="H1077" t="s">
        <v>352</v>
      </c>
      <c r="J1077">
        <v>0</v>
      </c>
      <c r="L1077">
        <v>1</v>
      </c>
      <c r="M1077">
        <v>152</v>
      </c>
      <c r="N1077">
        <v>34</v>
      </c>
      <c r="O1077" t="s">
        <v>575</v>
      </c>
      <c r="Q1077" t="s">
        <v>1212</v>
      </c>
      <c r="R1077" t="s">
        <v>1183</v>
      </c>
      <c r="U1077">
        <v>6</v>
      </c>
      <c r="V1077">
        <v>6</v>
      </c>
      <c r="W1077" t="s">
        <v>350</v>
      </c>
      <c r="X1077" t="s">
        <v>349</v>
      </c>
      <c r="Y1077" t="s">
        <v>580</v>
      </c>
      <c r="Z1077">
        <v>2017</v>
      </c>
      <c r="AB1077">
        <v>14</v>
      </c>
      <c r="AC1077">
        <v>5.97</v>
      </c>
      <c r="AE1077" t="s">
        <v>346</v>
      </c>
      <c r="AF1077">
        <v>46.142674</v>
      </c>
      <c r="AG1077">
        <v>-115.598088</v>
      </c>
      <c r="AH1077">
        <v>15555009</v>
      </c>
      <c r="AI1077">
        <f>17-68287</f>
        <v>-68270</v>
      </c>
    </row>
    <row r="1078" spans="2:35">
      <c r="B1078" t="s">
        <v>345</v>
      </c>
      <c r="C1078" t="s">
        <v>1181</v>
      </c>
      <c r="D1078" s="3">
        <v>42850.359027777777</v>
      </c>
      <c r="F1078">
        <v>2017</v>
      </c>
      <c r="G1078" t="s">
        <v>578</v>
      </c>
      <c r="H1078" t="s">
        <v>352</v>
      </c>
      <c r="J1078">
        <v>0</v>
      </c>
      <c r="L1078">
        <v>1</v>
      </c>
      <c r="M1078">
        <v>160</v>
      </c>
      <c r="N1078">
        <v>33</v>
      </c>
      <c r="O1078" t="s">
        <v>634</v>
      </c>
      <c r="P1078" t="s">
        <v>635</v>
      </c>
      <c r="Q1078" t="s">
        <v>635</v>
      </c>
      <c r="R1078" t="s">
        <v>1183</v>
      </c>
      <c r="U1078">
        <v>6</v>
      </c>
      <c r="V1078">
        <v>6</v>
      </c>
      <c r="W1078" t="s">
        <v>350</v>
      </c>
      <c r="X1078" t="s">
        <v>349</v>
      </c>
      <c r="Y1078" t="s">
        <v>580</v>
      </c>
      <c r="Z1078">
        <v>2017</v>
      </c>
      <c r="AB1078">
        <v>14</v>
      </c>
      <c r="AC1078">
        <v>5.97</v>
      </c>
      <c r="AE1078" t="s">
        <v>346</v>
      </c>
      <c r="AF1078">
        <v>46.142674</v>
      </c>
      <c r="AG1078">
        <v>-115.598088</v>
      </c>
      <c r="AH1078">
        <v>15555010</v>
      </c>
    </row>
    <row r="1079" spans="2:35">
      <c r="B1079" t="s">
        <v>345</v>
      </c>
      <c r="C1079" t="s">
        <v>1181</v>
      </c>
      <c r="D1079" s="3">
        <v>42850.359027777777</v>
      </c>
      <c r="F1079">
        <v>2017</v>
      </c>
      <c r="G1079" t="s">
        <v>578</v>
      </c>
      <c r="H1079" t="s">
        <v>352</v>
      </c>
      <c r="J1079">
        <v>0</v>
      </c>
      <c r="L1079">
        <v>1</v>
      </c>
      <c r="M1079">
        <v>160</v>
      </c>
      <c r="N1079">
        <v>38</v>
      </c>
      <c r="O1079" t="s">
        <v>575</v>
      </c>
      <c r="Q1079" t="s">
        <v>1213</v>
      </c>
      <c r="R1079" t="s">
        <v>1183</v>
      </c>
      <c r="U1079">
        <v>6</v>
      </c>
      <c r="V1079">
        <v>6</v>
      </c>
      <c r="W1079" t="s">
        <v>350</v>
      </c>
      <c r="X1079" t="s">
        <v>349</v>
      </c>
      <c r="Y1079" t="s">
        <v>580</v>
      </c>
      <c r="Z1079">
        <v>2017</v>
      </c>
      <c r="AB1079">
        <v>14</v>
      </c>
      <c r="AC1079">
        <v>5.97</v>
      </c>
      <c r="AE1079" t="s">
        <v>346</v>
      </c>
      <c r="AF1079">
        <v>46.142674</v>
      </c>
      <c r="AG1079">
        <v>-115.598088</v>
      </c>
      <c r="AH1079">
        <v>15555011</v>
      </c>
      <c r="AI1079">
        <f>17-68265</f>
        <v>-68248</v>
      </c>
    </row>
    <row r="1080" spans="2:35">
      <c r="B1080" t="s">
        <v>345</v>
      </c>
      <c r="C1080" t="s">
        <v>1181</v>
      </c>
      <c r="D1080" s="3">
        <v>42850.359027777777</v>
      </c>
      <c r="F1080">
        <v>2017</v>
      </c>
      <c r="G1080" t="s">
        <v>578</v>
      </c>
      <c r="H1080" t="s">
        <v>352</v>
      </c>
      <c r="J1080">
        <v>0</v>
      </c>
      <c r="L1080">
        <v>1</v>
      </c>
      <c r="M1080">
        <v>182</v>
      </c>
      <c r="N1080">
        <v>56</v>
      </c>
      <c r="O1080" t="s">
        <v>575</v>
      </c>
      <c r="Q1080" t="s">
        <v>1214</v>
      </c>
      <c r="R1080" t="s">
        <v>1183</v>
      </c>
      <c r="U1080">
        <v>6</v>
      </c>
      <c r="V1080">
        <v>6</v>
      </c>
      <c r="W1080" t="s">
        <v>350</v>
      </c>
      <c r="X1080" t="s">
        <v>349</v>
      </c>
      <c r="Y1080" t="s">
        <v>580</v>
      </c>
      <c r="Z1080">
        <v>2017</v>
      </c>
      <c r="AB1080">
        <v>14</v>
      </c>
      <c r="AC1080">
        <v>5.97</v>
      </c>
      <c r="AE1080" t="s">
        <v>346</v>
      </c>
      <c r="AF1080">
        <v>46.142674</v>
      </c>
      <c r="AG1080">
        <v>-115.598088</v>
      </c>
      <c r="AH1080">
        <v>15555012</v>
      </c>
      <c r="AI1080">
        <f>17-68290</f>
        <v>-68273</v>
      </c>
    </row>
    <row r="1081" spans="2:35">
      <c r="B1081" t="s">
        <v>345</v>
      </c>
      <c r="C1081" t="s">
        <v>1181</v>
      </c>
      <c r="D1081" s="3">
        <v>42850.359027777777</v>
      </c>
      <c r="F1081">
        <v>2017</v>
      </c>
      <c r="G1081" t="s">
        <v>578</v>
      </c>
      <c r="H1081" t="s">
        <v>352</v>
      </c>
      <c r="J1081">
        <v>0</v>
      </c>
      <c r="L1081">
        <v>1</v>
      </c>
      <c r="M1081">
        <v>161</v>
      </c>
      <c r="N1081">
        <v>38</v>
      </c>
      <c r="O1081" t="s">
        <v>575</v>
      </c>
      <c r="Q1081" t="s">
        <v>1215</v>
      </c>
      <c r="R1081" t="s">
        <v>1183</v>
      </c>
      <c r="U1081">
        <v>6</v>
      </c>
      <c r="V1081">
        <v>6</v>
      </c>
      <c r="W1081" t="s">
        <v>350</v>
      </c>
      <c r="X1081" t="s">
        <v>349</v>
      </c>
      <c r="Y1081" t="s">
        <v>580</v>
      </c>
      <c r="Z1081">
        <v>2017</v>
      </c>
      <c r="AB1081">
        <v>14</v>
      </c>
      <c r="AC1081">
        <v>5.97</v>
      </c>
      <c r="AE1081" t="s">
        <v>346</v>
      </c>
      <c r="AF1081">
        <v>46.142674</v>
      </c>
      <c r="AG1081">
        <v>-115.598088</v>
      </c>
      <c r="AH1081">
        <v>15555013</v>
      </c>
      <c r="AI1081">
        <f>17-68262</f>
        <v>-68245</v>
      </c>
    </row>
    <row r="1082" spans="2:35">
      <c r="B1082" t="s">
        <v>345</v>
      </c>
      <c r="C1082" t="s">
        <v>1181</v>
      </c>
      <c r="D1082" s="3">
        <v>42850.359027777777</v>
      </c>
      <c r="F1082">
        <v>2017</v>
      </c>
      <c r="G1082" t="s">
        <v>578</v>
      </c>
      <c r="H1082" t="s">
        <v>352</v>
      </c>
      <c r="J1082">
        <v>0</v>
      </c>
      <c r="L1082">
        <v>1</v>
      </c>
      <c r="M1082">
        <v>161</v>
      </c>
      <c r="N1082">
        <v>39</v>
      </c>
      <c r="O1082" t="s">
        <v>575</v>
      </c>
      <c r="Q1082" t="s">
        <v>1216</v>
      </c>
      <c r="R1082" t="s">
        <v>1183</v>
      </c>
      <c r="U1082">
        <v>6</v>
      </c>
      <c r="V1082">
        <v>6</v>
      </c>
      <c r="W1082" t="s">
        <v>350</v>
      </c>
      <c r="X1082" t="s">
        <v>349</v>
      </c>
      <c r="Y1082" t="s">
        <v>580</v>
      </c>
      <c r="Z1082">
        <v>2017</v>
      </c>
      <c r="AB1082">
        <v>14</v>
      </c>
      <c r="AC1082">
        <v>5.97</v>
      </c>
      <c r="AE1082" t="s">
        <v>346</v>
      </c>
      <c r="AF1082">
        <v>46.142674</v>
      </c>
      <c r="AG1082">
        <v>-115.598088</v>
      </c>
      <c r="AH1082">
        <v>15555014</v>
      </c>
      <c r="AI1082">
        <f>17-68289</f>
        <v>-68272</v>
      </c>
    </row>
    <row r="1083" spans="2:35">
      <c r="B1083" t="s">
        <v>345</v>
      </c>
      <c r="C1083" t="s">
        <v>1217</v>
      </c>
      <c r="D1083" s="3">
        <v>42877.337500000001</v>
      </c>
      <c r="F1083">
        <v>2017</v>
      </c>
      <c r="G1083" t="s">
        <v>578</v>
      </c>
      <c r="H1083" t="s">
        <v>352</v>
      </c>
      <c r="J1083">
        <v>0</v>
      </c>
      <c r="L1083">
        <v>1</v>
      </c>
      <c r="M1083">
        <v>166</v>
      </c>
      <c r="N1083">
        <v>43</v>
      </c>
      <c r="O1083" t="s">
        <v>575</v>
      </c>
      <c r="Q1083" t="s">
        <v>1218</v>
      </c>
      <c r="R1083" t="s">
        <v>1219</v>
      </c>
      <c r="U1083">
        <v>8.5</v>
      </c>
      <c r="V1083">
        <v>8</v>
      </c>
      <c r="W1083" t="s">
        <v>350</v>
      </c>
      <c r="X1083" t="s">
        <v>349</v>
      </c>
      <c r="Y1083" t="s">
        <v>580</v>
      </c>
      <c r="Z1083">
        <v>2017</v>
      </c>
      <c r="AB1083">
        <v>13</v>
      </c>
      <c r="AC1083">
        <v>6.78</v>
      </c>
      <c r="AE1083" t="s">
        <v>346</v>
      </c>
      <c r="AF1083">
        <v>46.142674</v>
      </c>
      <c r="AG1083">
        <v>-115.598088</v>
      </c>
      <c r="AH1083">
        <v>15557070</v>
      </c>
      <c r="AI1083">
        <f>17-76515</f>
        <v>-76498</v>
      </c>
    </row>
    <row r="1084" spans="2:35">
      <c r="B1084" t="s">
        <v>345</v>
      </c>
      <c r="C1084" t="s">
        <v>1217</v>
      </c>
      <c r="D1084" s="3">
        <v>42877.337500000001</v>
      </c>
      <c r="F1084">
        <v>2017</v>
      </c>
      <c r="G1084" t="s">
        <v>578</v>
      </c>
      <c r="H1084" t="s">
        <v>352</v>
      </c>
      <c r="J1084">
        <v>0</v>
      </c>
      <c r="L1084">
        <v>1</v>
      </c>
      <c r="M1084">
        <v>179</v>
      </c>
      <c r="N1084">
        <v>53</v>
      </c>
      <c r="O1084" t="s">
        <v>575</v>
      </c>
      <c r="Q1084" t="s">
        <v>1220</v>
      </c>
      <c r="R1084" t="s">
        <v>1219</v>
      </c>
      <c r="U1084">
        <v>8.5</v>
      </c>
      <c r="V1084">
        <v>8</v>
      </c>
      <c r="W1084" t="s">
        <v>350</v>
      </c>
      <c r="X1084" t="s">
        <v>349</v>
      </c>
      <c r="Y1084" t="s">
        <v>580</v>
      </c>
      <c r="Z1084">
        <v>2017</v>
      </c>
      <c r="AB1084">
        <v>13</v>
      </c>
      <c r="AC1084">
        <v>6.78</v>
      </c>
      <c r="AE1084" t="s">
        <v>346</v>
      </c>
      <c r="AF1084">
        <v>46.142674</v>
      </c>
      <c r="AG1084">
        <v>-115.598088</v>
      </c>
      <c r="AH1084">
        <v>15557071</v>
      </c>
      <c r="AI1084">
        <f>17-76518</f>
        <v>-76501</v>
      </c>
    </row>
    <row r="1085" spans="2:35">
      <c r="B1085" t="s">
        <v>345</v>
      </c>
      <c r="C1085" t="s">
        <v>1217</v>
      </c>
      <c r="D1085" s="3">
        <v>42877.337500000001</v>
      </c>
      <c r="F1085">
        <v>2017</v>
      </c>
      <c r="G1085" t="s">
        <v>574</v>
      </c>
      <c r="H1085" t="s">
        <v>352</v>
      </c>
      <c r="J1085">
        <v>0</v>
      </c>
      <c r="L1085">
        <v>1</v>
      </c>
      <c r="M1085">
        <v>110</v>
      </c>
      <c r="N1085">
        <v>15</v>
      </c>
      <c r="O1085" t="s">
        <v>575</v>
      </c>
      <c r="Q1085" t="s">
        <v>576</v>
      </c>
      <c r="R1085" t="s">
        <v>1219</v>
      </c>
      <c r="U1085">
        <v>8.5</v>
      </c>
      <c r="V1085">
        <v>8</v>
      </c>
      <c r="W1085" t="s">
        <v>350</v>
      </c>
      <c r="X1085" t="s">
        <v>349</v>
      </c>
      <c r="Y1085" t="s">
        <v>580</v>
      </c>
      <c r="Z1085">
        <v>2017</v>
      </c>
      <c r="AB1085">
        <v>13</v>
      </c>
      <c r="AC1085">
        <v>6.78</v>
      </c>
      <c r="AE1085" t="s">
        <v>346</v>
      </c>
      <c r="AF1085">
        <v>46.142674</v>
      </c>
      <c r="AG1085">
        <v>-115.598088</v>
      </c>
      <c r="AH1085">
        <v>15557072</v>
      </c>
    </row>
    <row r="1086" spans="2:35">
      <c r="B1086" t="s">
        <v>345</v>
      </c>
      <c r="C1086" t="s">
        <v>1217</v>
      </c>
      <c r="D1086" s="3">
        <v>42877.337500000001</v>
      </c>
      <c r="F1086">
        <v>2017</v>
      </c>
      <c r="G1086" t="s">
        <v>574</v>
      </c>
      <c r="H1086" t="s">
        <v>352</v>
      </c>
      <c r="J1086">
        <v>0</v>
      </c>
      <c r="L1086">
        <v>1</v>
      </c>
      <c r="M1086">
        <v>105</v>
      </c>
      <c r="N1086">
        <v>14</v>
      </c>
      <c r="O1086" t="s">
        <v>575</v>
      </c>
      <c r="Q1086" t="s">
        <v>576</v>
      </c>
      <c r="R1086" t="s">
        <v>1219</v>
      </c>
      <c r="U1086">
        <v>8.5</v>
      </c>
      <c r="V1086">
        <v>8</v>
      </c>
      <c r="W1086" t="s">
        <v>350</v>
      </c>
      <c r="X1086" t="s">
        <v>349</v>
      </c>
      <c r="Y1086" t="s">
        <v>580</v>
      </c>
      <c r="Z1086">
        <v>2017</v>
      </c>
      <c r="AB1086">
        <v>13</v>
      </c>
      <c r="AC1086">
        <v>6.78</v>
      </c>
      <c r="AE1086" t="s">
        <v>346</v>
      </c>
      <c r="AF1086">
        <v>46.142674</v>
      </c>
      <c r="AG1086">
        <v>-115.598088</v>
      </c>
      <c r="AH1086">
        <v>15557073</v>
      </c>
    </row>
    <row r="1087" spans="2:35">
      <c r="B1087" t="s">
        <v>345</v>
      </c>
      <c r="C1087" t="s">
        <v>1217</v>
      </c>
      <c r="D1087" s="3">
        <v>42877.337500000001</v>
      </c>
      <c r="F1087">
        <v>2017</v>
      </c>
      <c r="G1087" t="s">
        <v>578</v>
      </c>
      <c r="H1087" t="s">
        <v>352</v>
      </c>
      <c r="J1087">
        <v>0</v>
      </c>
      <c r="L1087">
        <v>1</v>
      </c>
      <c r="M1087">
        <v>180</v>
      </c>
      <c r="N1087">
        <v>56</v>
      </c>
      <c r="O1087" t="s">
        <v>575</v>
      </c>
      <c r="Q1087" t="s">
        <v>1221</v>
      </c>
      <c r="R1087" t="s">
        <v>1219</v>
      </c>
      <c r="U1087">
        <v>8.5</v>
      </c>
      <c r="V1087">
        <v>8</v>
      </c>
      <c r="W1087" t="s">
        <v>350</v>
      </c>
      <c r="X1087" t="s">
        <v>349</v>
      </c>
      <c r="Y1087" t="s">
        <v>580</v>
      </c>
      <c r="Z1087">
        <v>2017</v>
      </c>
      <c r="AB1087">
        <v>13</v>
      </c>
      <c r="AC1087">
        <v>6.78</v>
      </c>
      <c r="AE1087" t="s">
        <v>346</v>
      </c>
      <c r="AF1087">
        <v>46.142674</v>
      </c>
      <c r="AG1087">
        <v>-115.598088</v>
      </c>
      <c r="AH1087">
        <v>15557074</v>
      </c>
      <c r="AI1087">
        <f>17-76521</f>
        <v>-76504</v>
      </c>
    </row>
    <row r="1088" spans="2:35">
      <c r="B1088" t="s">
        <v>345</v>
      </c>
      <c r="C1088" t="s">
        <v>1217</v>
      </c>
      <c r="D1088" s="3">
        <v>42877.337500000001</v>
      </c>
      <c r="F1088">
        <v>2017</v>
      </c>
      <c r="G1088" t="s">
        <v>578</v>
      </c>
      <c r="H1088" t="s">
        <v>352</v>
      </c>
      <c r="J1088">
        <v>0</v>
      </c>
      <c r="L1088">
        <v>1</v>
      </c>
      <c r="M1088">
        <v>160</v>
      </c>
      <c r="N1088">
        <v>39</v>
      </c>
      <c r="O1088" t="s">
        <v>575</v>
      </c>
      <c r="Q1088" t="s">
        <v>1222</v>
      </c>
      <c r="R1088" t="s">
        <v>1219</v>
      </c>
      <c r="U1088">
        <v>8.5</v>
      </c>
      <c r="V1088">
        <v>8</v>
      </c>
      <c r="W1088" t="s">
        <v>350</v>
      </c>
      <c r="X1088" t="s">
        <v>349</v>
      </c>
      <c r="Y1088" t="s">
        <v>580</v>
      </c>
      <c r="Z1088">
        <v>2017</v>
      </c>
      <c r="AB1088">
        <v>13</v>
      </c>
      <c r="AC1088">
        <v>6.78</v>
      </c>
      <c r="AE1088" t="s">
        <v>346</v>
      </c>
      <c r="AF1088">
        <v>46.142674</v>
      </c>
      <c r="AG1088">
        <v>-115.598088</v>
      </c>
      <c r="AH1088">
        <v>15557075</v>
      </c>
      <c r="AI1088">
        <f>17-76524</f>
        <v>-76507</v>
      </c>
    </row>
    <row r="1089" spans="2:35">
      <c r="B1089" t="s">
        <v>345</v>
      </c>
      <c r="C1089" t="s">
        <v>1217</v>
      </c>
      <c r="D1089" s="3">
        <v>42877.337500000001</v>
      </c>
      <c r="F1089">
        <v>2017</v>
      </c>
      <c r="G1089" t="s">
        <v>578</v>
      </c>
      <c r="H1089" t="s">
        <v>352</v>
      </c>
      <c r="J1089">
        <v>0</v>
      </c>
      <c r="L1089">
        <v>1</v>
      </c>
      <c r="M1089">
        <v>178</v>
      </c>
      <c r="N1089">
        <v>57</v>
      </c>
      <c r="O1089" t="s">
        <v>575</v>
      </c>
      <c r="Q1089" t="s">
        <v>1223</v>
      </c>
      <c r="R1089" t="s">
        <v>1219</v>
      </c>
      <c r="U1089">
        <v>8.5</v>
      </c>
      <c r="V1089">
        <v>8</v>
      </c>
      <c r="W1089" t="s">
        <v>350</v>
      </c>
      <c r="X1089" t="s">
        <v>349</v>
      </c>
      <c r="Y1089" t="s">
        <v>580</v>
      </c>
      <c r="Z1089">
        <v>2017</v>
      </c>
      <c r="AB1089">
        <v>13</v>
      </c>
      <c r="AC1089">
        <v>6.78</v>
      </c>
      <c r="AE1089" t="s">
        <v>346</v>
      </c>
      <c r="AF1089">
        <v>46.142674</v>
      </c>
      <c r="AG1089">
        <v>-115.598088</v>
      </c>
      <c r="AH1089">
        <v>15557076</v>
      </c>
      <c r="AI1089">
        <f>17-76514</f>
        <v>-76497</v>
      </c>
    </row>
    <row r="1090" spans="2:35">
      <c r="B1090" t="s">
        <v>345</v>
      </c>
      <c r="C1090" t="s">
        <v>1217</v>
      </c>
      <c r="D1090" s="3">
        <v>42877.337500000001</v>
      </c>
      <c r="F1090">
        <v>2017</v>
      </c>
      <c r="G1090" t="s">
        <v>578</v>
      </c>
      <c r="H1090" t="s">
        <v>352</v>
      </c>
      <c r="J1090">
        <v>0</v>
      </c>
      <c r="L1090">
        <v>1</v>
      </c>
      <c r="M1090">
        <v>162</v>
      </c>
      <c r="N1090">
        <v>44</v>
      </c>
      <c r="O1090" t="s">
        <v>575</v>
      </c>
      <c r="Q1090" t="s">
        <v>1224</v>
      </c>
      <c r="R1090" t="s">
        <v>1219</v>
      </c>
      <c r="U1090">
        <v>8.5</v>
      </c>
      <c r="V1090">
        <v>8</v>
      </c>
      <c r="W1090" t="s">
        <v>350</v>
      </c>
      <c r="X1090" t="s">
        <v>349</v>
      </c>
      <c r="Y1090" t="s">
        <v>580</v>
      </c>
      <c r="Z1090">
        <v>2017</v>
      </c>
      <c r="AB1090">
        <v>13</v>
      </c>
      <c r="AC1090">
        <v>6.78</v>
      </c>
      <c r="AE1090" t="s">
        <v>346</v>
      </c>
      <c r="AF1090">
        <v>46.142674</v>
      </c>
      <c r="AG1090">
        <v>-115.598088</v>
      </c>
      <c r="AH1090">
        <v>15557077</v>
      </c>
      <c r="AI1090">
        <f>17-76519</f>
        <v>-76502</v>
      </c>
    </row>
    <row r="1091" spans="2:35">
      <c r="B1091" t="s">
        <v>345</v>
      </c>
      <c r="C1091" t="s">
        <v>1217</v>
      </c>
      <c r="D1091" s="3">
        <v>42877.337500000001</v>
      </c>
      <c r="F1091">
        <v>2017</v>
      </c>
      <c r="G1091" t="s">
        <v>578</v>
      </c>
      <c r="H1091" t="s">
        <v>352</v>
      </c>
      <c r="J1091">
        <v>0</v>
      </c>
      <c r="L1091">
        <v>1</v>
      </c>
      <c r="M1091">
        <v>150</v>
      </c>
      <c r="N1091">
        <v>36</v>
      </c>
      <c r="O1091" t="s">
        <v>575</v>
      </c>
      <c r="Q1091" t="s">
        <v>1225</v>
      </c>
      <c r="R1091" t="s">
        <v>1219</v>
      </c>
      <c r="U1091">
        <v>8.5</v>
      </c>
      <c r="V1091">
        <v>8</v>
      </c>
      <c r="W1091" t="s">
        <v>350</v>
      </c>
      <c r="X1091" t="s">
        <v>349</v>
      </c>
      <c r="Y1091" t="s">
        <v>580</v>
      </c>
      <c r="Z1091">
        <v>2017</v>
      </c>
      <c r="AB1091">
        <v>13</v>
      </c>
      <c r="AC1091">
        <v>6.78</v>
      </c>
      <c r="AE1091" t="s">
        <v>346</v>
      </c>
      <c r="AF1091">
        <v>46.142674</v>
      </c>
      <c r="AG1091">
        <v>-115.598088</v>
      </c>
      <c r="AH1091">
        <v>15557078</v>
      </c>
      <c r="AI1091">
        <f>17-76517</f>
        <v>-76500</v>
      </c>
    </row>
    <row r="1092" spans="2:35">
      <c r="B1092" t="s">
        <v>345</v>
      </c>
      <c r="C1092" t="s">
        <v>1217</v>
      </c>
      <c r="D1092" s="3">
        <v>42877.337500000001</v>
      </c>
      <c r="F1092">
        <v>2017</v>
      </c>
      <c r="G1092" t="s">
        <v>578</v>
      </c>
      <c r="H1092" t="s">
        <v>352</v>
      </c>
      <c r="J1092">
        <v>0</v>
      </c>
      <c r="L1092">
        <v>1</v>
      </c>
      <c r="M1092">
        <v>150</v>
      </c>
      <c r="N1092">
        <v>31</v>
      </c>
      <c r="O1092" t="s">
        <v>575</v>
      </c>
      <c r="Q1092" t="s">
        <v>1226</v>
      </c>
      <c r="R1092" t="s">
        <v>1219</v>
      </c>
      <c r="U1092">
        <v>8.5</v>
      </c>
      <c r="V1092">
        <v>8</v>
      </c>
      <c r="W1092" t="s">
        <v>350</v>
      </c>
      <c r="X1092" t="s">
        <v>349</v>
      </c>
      <c r="Y1092" t="s">
        <v>580</v>
      </c>
      <c r="Z1092">
        <v>2017</v>
      </c>
      <c r="AB1092">
        <v>13</v>
      </c>
      <c r="AC1092">
        <v>6.78</v>
      </c>
      <c r="AE1092" t="s">
        <v>346</v>
      </c>
      <c r="AF1092">
        <v>46.142674</v>
      </c>
      <c r="AG1092">
        <v>-115.598088</v>
      </c>
      <c r="AH1092">
        <v>15557079</v>
      </c>
      <c r="AI1092">
        <f>17-76523</f>
        <v>-76506</v>
      </c>
    </row>
    <row r="1093" spans="2:35">
      <c r="B1093" t="s">
        <v>345</v>
      </c>
      <c r="C1093" t="s">
        <v>1217</v>
      </c>
      <c r="D1093" s="3">
        <v>42877.337500000001</v>
      </c>
      <c r="F1093">
        <v>2017</v>
      </c>
      <c r="G1093" t="s">
        <v>615</v>
      </c>
      <c r="H1093" t="s">
        <v>352</v>
      </c>
      <c r="J1093">
        <v>0</v>
      </c>
      <c r="L1093">
        <v>1</v>
      </c>
      <c r="M1093">
        <v>150</v>
      </c>
      <c r="N1093">
        <v>32</v>
      </c>
      <c r="O1093" t="s">
        <v>353</v>
      </c>
      <c r="R1093" t="s">
        <v>1219</v>
      </c>
      <c r="U1093">
        <v>8.5</v>
      </c>
      <c r="V1093">
        <v>8</v>
      </c>
      <c r="W1093" t="s">
        <v>350</v>
      </c>
      <c r="X1093" t="s">
        <v>349</v>
      </c>
      <c r="Y1093" t="s">
        <v>580</v>
      </c>
      <c r="Z1093">
        <v>2017</v>
      </c>
      <c r="AB1093">
        <v>13</v>
      </c>
      <c r="AC1093">
        <v>6.78</v>
      </c>
      <c r="AE1093" t="s">
        <v>346</v>
      </c>
      <c r="AF1093">
        <v>46.142674</v>
      </c>
      <c r="AG1093">
        <v>-115.598088</v>
      </c>
      <c r="AH1093">
        <v>15557080</v>
      </c>
    </row>
    <row r="1094" spans="2:35">
      <c r="B1094" t="s">
        <v>345</v>
      </c>
      <c r="C1094" t="s">
        <v>1217</v>
      </c>
      <c r="D1094" s="3">
        <v>42877.337500000001</v>
      </c>
      <c r="F1094">
        <v>2017</v>
      </c>
      <c r="G1094" t="s">
        <v>578</v>
      </c>
      <c r="H1094" t="s">
        <v>352</v>
      </c>
      <c r="J1094">
        <v>0</v>
      </c>
      <c r="L1094">
        <v>1</v>
      </c>
      <c r="M1094">
        <v>150</v>
      </c>
      <c r="N1094">
        <v>33</v>
      </c>
      <c r="O1094" t="s">
        <v>575</v>
      </c>
      <c r="Q1094" t="s">
        <v>1227</v>
      </c>
      <c r="R1094" t="s">
        <v>1219</v>
      </c>
      <c r="U1094">
        <v>8.5</v>
      </c>
      <c r="V1094">
        <v>8</v>
      </c>
      <c r="W1094" t="s">
        <v>350</v>
      </c>
      <c r="X1094" t="s">
        <v>349</v>
      </c>
      <c r="Y1094" t="s">
        <v>580</v>
      </c>
      <c r="Z1094">
        <v>2017</v>
      </c>
      <c r="AB1094">
        <v>13</v>
      </c>
      <c r="AC1094">
        <v>6.78</v>
      </c>
      <c r="AE1094" t="s">
        <v>346</v>
      </c>
      <c r="AF1094">
        <v>46.142674</v>
      </c>
      <c r="AG1094">
        <v>-115.598088</v>
      </c>
      <c r="AH1094">
        <v>15557081</v>
      </c>
      <c r="AI1094">
        <f>17-76516</f>
        <v>-76499</v>
      </c>
    </row>
    <row r="1095" spans="2:35">
      <c r="B1095" t="s">
        <v>345</v>
      </c>
      <c r="C1095" t="s">
        <v>1217</v>
      </c>
      <c r="D1095" s="3">
        <v>42877.337500000001</v>
      </c>
      <c r="F1095">
        <v>2017</v>
      </c>
      <c r="G1095" t="s">
        <v>578</v>
      </c>
      <c r="H1095" t="s">
        <v>352</v>
      </c>
      <c r="J1095">
        <v>0</v>
      </c>
      <c r="L1095">
        <v>1</v>
      </c>
      <c r="M1095">
        <v>165</v>
      </c>
      <c r="N1095">
        <v>44</v>
      </c>
      <c r="O1095" t="s">
        <v>575</v>
      </c>
      <c r="Q1095" t="s">
        <v>1228</v>
      </c>
      <c r="R1095" t="s">
        <v>1219</v>
      </c>
      <c r="U1095">
        <v>8.5</v>
      </c>
      <c r="V1095">
        <v>8</v>
      </c>
      <c r="W1095" t="s">
        <v>350</v>
      </c>
      <c r="X1095" t="s">
        <v>349</v>
      </c>
      <c r="Y1095" t="s">
        <v>580</v>
      </c>
      <c r="Z1095">
        <v>2017</v>
      </c>
      <c r="AB1095">
        <v>13</v>
      </c>
      <c r="AC1095">
        <v>6.78</v>
      </c>
      <c r="AE1095" t="s">
        <v>346</v>
      </c>
      <c r="AF1095">
        <v>46.142674</v>
      </c>
      <c r="AG1095">
        <v>-115.598088</v>
      </c>
      <c r="AH1095">
        <v>15557082</v>
      </c>
      <c r="AI1095">
        <f>17-76520</f>
        <v>-76503</v>
      </c>
    </row>
    <row r="1096" spans="2:35">
      <c r="B1096" t="s">
        <v>345</v>
      </c>
      <c r="C1096" t="s">
        <v>1217</v>
      </c>
      <c r="D1096" s="3">
        <v>42877.337500000001</v>
      </c>
      <c r="F1096">
        <v>2017</v>
      </c>
      <c r="G1096" t="s">
        <v>578</v>
      </c>
      <c r="H1096" t="s">
        <v>352</v>
      </c>
      <c r="J1096">
        <v>0</v>
      </c>
      <c r="L1096">
        <v>1</v>
      </c>
      <c r="M1096">
        <v>175</v>
      </c>
      <c r="N1096">
        <v>45</v>
      </c>
      <c r="O1096" t="s">
        <v>575</v>
      </c>
      <c r="Q1096" t="s">
        <v>1229</v>
      </c>
      <c r="R1096" t="s">
        <v>1219</v>
      </c>
      <c r="U1096">
        <v>8.5</v>
      </c>
      <c r="V1096">
        <v>8</v>
      </c>
      <c r="W1096" t="s">
        <v>350</v>
      </c>
      <c r="X1096" t="s">
        <v>349</v>
      </c>
      <c r="Y1096" t="s">
        <v>580</v>
      </c>
      <c r="Z1096">
        <v>2017</v>
      </c>
      <c r="AB1096">
        <v>13</v>
      </c>
      <c r="AC1096">
        <v>6.78</v>
      </c>
      <c r="AE1096" t="s">
        <v>346</v>
      </c>
      <c r="AF1096">
        <v>46.142674</v>
      </c>
      <c r="AG1096">
        <v>-115.598088</v>
      </c>
      <c r="AH1096">
        <v>15557083</v>
      </c>
      <c r="AI1096">
        <f>17-76522</f>
        <v>-76505</v>
      </c>
    </row>
    <row r="1097" spans="2:35">
      <c r="B1097" t="s">
        <v>345</v>
      </c>
      <c r="C1097" t="s">
        <v>1165</v>
      </c>
      <c r="D1097" s="3">
        <v>42902.489583333336</v>
      </c>
      <c r="F1097">
        <v>2017</v>
      </c>
      <c r="G1097" t="s">
        <v>578</v>
      </c>
      <c r="H1097" t="s">
        <v>352</v>
      </c>
      <c r="J1097">
        <v>0</v>
      </c>
      <c r="L1097">
        <v>1</v>
      </c>
      <c r="M1097">
        <v>118</v>
      </c>
      <c r="N1097">
        <v>21</v>
      </c>
      <c r="O1097" t="s">
        <v>575</v>
      </c>
      <c r="Q1097" t="s">
        <v>1230</v>
      </c>
      <c r="R1097" t="s">
        <v>1166</v>
      </c>
      <c r="U1097">
        <v>11</v>
      </c>
      <c r="V1097">
        <v>10</v>
      </c>
      <c r="W1097" t="s">
        <v>350</v>
      </c>
      <c r="X1097" t="s">
        <v>349</v>
      </c>
      <c r="Y1097" t="s">
        <v>580</v>
      </c>
      <c r="Z1097">
        <v>2017</v>
      </c>
      <c r="AB1097">
        <v>13</v>
      </c>
      <c r="AC1097">
        <v>6.19</v>
      </c>
      <c r="AE1097" t="s">
        <v>346</v>
      </c>
      <c r="AF1097">
        <v>46.142674</v>
      </c>
      <c r="AG1097">
        <v>-115.598088</v>
      </c>
      <c r="AH1097">
        <v>15438678</v>
      </c>
    </row>
    <row r="1098" spans="2:35">
      <c r="B1098" t="s">
        <v>345</v>
      </c>
      <c r="C1098" t="s">
        <v>1165</v>
      </c>
      <c r="D1098" s="3">
        <v>42902.489583333336</v>
      </c>
      <c r="F1098">
        <v>2017</v>
      </c>
      <c r="G1098" t="s">
        <v>615</v>
      </c>
      <c r="H1098" t="s">
        <v>352</v>
      </c>
      <c r="J1098">
        <v>0</v>
      </c>
      <c r="L1098">
        <v>1</v>
      </c>
      <c r="M1098">
        <v>144</v>
      </c>
      <c r="N1098">
        <v>28</v>
      </c>
      <c r="O1098" t="s">
        <v>353</v>
      </c>
      <c r="R1098" t="s">
        <v>1166</v>
      </c>
      <c r="U1098">
        <v>11</v>
      </c>
      <c r="V1098">
        <v>10</v>
      </c>
      <c r="W1098" t="s">
        <v>350</v>
      </c>
      <c r="X1098" t="s">
        <v>349</v>
      </c>
      <c r="Y1098" t="s">
        <v>580</v>
      </c>
      <c r="Z1098">
        <v>2017</v>
      </c>
      <c r="AB1098">
        <v>13</v>
      </c>
      <c r="AC1098">
        <v>6.19</v>
      </c>
      <c r="AE1098" t="s">
        <v>346</v>
      </c>
      <c r="AF1098">
        <v>46.142674</v>
      </c>
      <c r="AG1098">
        <v>-115.598088</v>
      </c>
      <c r="AH1098">
        <v>15438679</v>
      </c>
    </row>
    <row r="1099" spans="2:35">
      <c r="B1099" t="s">
        <v>345</v>
      </c>
      <c r="C1099" t="s">
        <v>1231</v>
      </c>
      <c r="D1099" s="3">
        <v>42889.349305555559</v>
      </c>
      <c r="F1099">
        <v>2017</v>
      </c>
      <c r="G1099" t="s">
        <v>578</v>
      </c>
      <c r="H1099" t="s">
        <v>352</v>
      </c>
      <c r="J1099">
        <v>0</v>
      </c>
      <c r="L1099">
        <v>1</v>
      </c>
      <c r="M1099">
        <v>161</v>
      </c>
      <c r="N1099">
        <v>49</v>
      </c>
      <c r="O1099" t="s">
        <v>575</v>
      </c>
      <c r="Q1099" t="s">
        <v>1232</v>
      </c>
      <c r="R1099" t="s">
        <v>608</v>
      </c>
      <c r="U1099">
        <v>9</v>
      </c>
      <c r="V1099">
        <v>9</v>
      </c>
      <c r="W1099" t="s">
        <v>350</v>
      </c>
      <c r="X1099" t="s">
        <v>349</v>
      </c>
      <c r="Y1099" t="s">
        <v>348</v>
      </c>
      <c r="Z1099">
        <v>2017</v>
      </c>
      <c r="AB1099">
        <v>13</v>
      </c>
      <c r="AC1099">
        <v>8.25</v>
      </c>
      <c r="AE1099" t="s">
        <v>346</v>
      </c>
      <c r="AF1099">
        <v>46.142674</v>
      </c>
      <c r="AG1099">
        <v>-115.598088</v>
      </c>
      <c r="AH1099">
        <v>15448494</v>
      </c>
      <c r="AI1099">
        <f>17-76532</f>
        <v>-76515</v>
      </c>
    </row>
    <row r="1100" spans="2:35">
      <c r="B1100" t="s">
        <v>345</v>
      </c>
      <c r="C1100" t="s">
        <v>1231</v>
      </c>
      <c r="D1100" s="3">
        <v>42889.349305555559</v>
      </c>
      <c r="F1100">
        <v>2017</v>
      </c>
      <c r="G1100" t="s">
        <v>351</v>
      </c>
      <c r="H1100" t="s">
        <v>352</v>
      </c>
      <c r="J1100">
        <v>0</v>
      </c>
      <c r="L1100">
        <v>1</v>
      </c>
      <c r="M1100">
        <v>140</v>
      </c>
      <c r="N1100">
        <v>5</v>
      </c>
      <c r="O1100" t="s">
        <v>353</v>
      </c>
      <c r="R1100" t="s">
        <v>608</v>
      </c>
      <c r="U1100">
        <v>9</v>
      </c>
      <c r="V1100">
        <v>9</v>
      </c>
      <c r="W1100" t="s">
        <v>350</v>
      </c>
      <c r="X1100" t="s">
        <v>349</v>
      </c>
      <c r="Y1100" t="s">
        <v>348</v>
      </c>
      <c r="Z1100">
        <v>2017</v>
      </c>
      <c r="AB1100">
        <v>13</v>
      </c>
      <c r="AC1100">
        <v>8.25</v>
      </c>
      <c r="AE1100" t="s">
        <v>346</v>
      </c>
      <c r="AF1100">
        <v>46.142674</v>
      </c>
      <c r="AG1100">
        <v>-115.598088</v>
      </c>
      <c r="AH1100">
        <v>15448495</v>
      </c>
    </row>
    <row r="1101" spans="2:35">
      <c r="B1101" t="s">
        <v>345</v>
      </c>
      <c r="C1101" t="s">
        <v>1233</v>
      </c>
      <c r="D1101" s="3">
        <v>42980.271527777775</v>
      </c>
      <c r="F1101">
        <v>2017</v>
      </c>
      <c r="G1101" t="s">
        <v>605</v>
      </c>
      <c r="H1101" t="s">
        <v>352</v>
      </c>
      <c r="J1101">
        <v>0</v>
      </c>
      <c r="L1101">
        <v>30</v>
      </c>
      <c r="M1101">
        <v>0</v>
      </c>
      <c r="N1101">
        <v>0</v>
      </c>
      <c r="O1101" t="s">
        <v>606</v>
      </c>
      <c r="R1101" t="s">
        <v>966</v>
      </c>
      <c r="U1101">
        <v>25</v>
      </c>
      <c r="V1101">
        <v>25</v>
      </c>
      <c r="W1101" t="s">
        <v>350</v>
      </c>
      <c r="X1101" t="s">
        <v>349</v>
      </c>
      <c r="Y1101" t="s">
        <v>642</v>
      </c>
      <c r="Z1101">
        <v>2017</v>
      </c>
      <c r="AB1101">
        <v>4</v>
      </c>
      <c r="AC1101">
        <v>1.78</v>
      </c>
      <c r="AE1101" t="s">
        <v>346</v>
      </c>
      <c r="AF1101">
        <v>46.142674</v>
      </c>
      <c r="AG1101">
        <v>-115.598088</v>
      </c>
      <c r="AH1101">
        <v>15496340</v>
      </c>
    </row>
    <row r="1102" spans="2:35">
      <c r="B1102" t="s">
        <v>345</v>
      </c>
      <c r="C1102" t="s">
        <v>1233</v>
      </c>
      <c r="D1102" s="3">
        <v>42980.271527777775</v>
      </c>
      <c r="F1102">
        <v>2017</v>
      </c>
      <c r="G1102" t="s">
        <v>605</v>
      </c>
      <c r="H1102" t="s">
        <v>352</v>
      </c>
      <c r="J1102">
        <v>0</v>
      </c>
      <c r="L1102">
        <v>1</v>
      </c>
      <c r="M1102">
        <v>0</v>
      </c>
      <c r="N1102">
        <v>0</v>
      </c>
      <c r="O1102" t="s">
        <v>643</v>
      </c>
      <c r="R1102" t="s">
        <v>966</v>
      </c>
      <c r="U1102">
        <v>25</v>
      </c>
      <c r="V1102">
        <v>25</v>
      </c>
      <c r="W1102" t="s">
        <v>350</v>
      </c>
      <c r="X1102" t="s">
        <v>349</v>
      </c>
      <c r="Y1102" t="s">
        <v>642</v>
      </c>
      <c r="Z1102">
        <v>2017</v>
      </c>
      <c r="AB1102">
        <v>4</v>
      </c>
      <c r="AC1102">
        <v>1.78</v>
      </c>
      <c r="AE1102" t="s">
        <v>346</v>
      </c>
      <c r="AF1102">
        <v>46.142674</v>
      </c>
      <c r="AG1102">
        <v>-115.598088</v>
      </c>
      <c r="AH1102">
        <v>15496341</v>
      </c>
    </row>
    <row r="1103" spans="2:35">
      <c r="B1103" t="s">
        <v>345</v>
      </c>
      <c r="C1103" t="s">
        <v>1234</v>
      </c>
      <c r="D1103" s="3">
        <v>42939.234722222223</v>
      </c>
      <c r="F1103">
        <v>2017</v>
      </c>
      <c r="G1103" t="s">
        <v>605</v>
      </c>
      <c r="H1103" t="s">
        <v>352</v>
      </c>
      <c r="J1103">
        <v>0</v>
      </c>
      <c r="L1103">
        <v>1</v>
      </c>
      <c r="O1103" t="s">
        <v>643</v>
      </c>
      <c r="U1103">
        <v>25</v>
      </c>
      <c r="V1103">
        <v>15</v>
      </c>
      <c r="W1103" t="s">
        <v>350</v>
      </c>
      <c r="X1103" t="s">
        <v>349</v>
      </c>
      <c r="Y1103" t="s">
        <v>813</v>
      </c>
      <c r="Z1103">
        <v>2017</v>
      </c>
      <c r="AB1103">
        <v>8</v>
      </c>
      <c r="AC1103">
        <v>0.5</v>
      </c>
      <c r="AE1103" t="s">
        <v>346</v>
      </c>
      <c r="AF1103">
        <v>46.142674</v>
      </c>
      <c r="AG1103">
        <v>-115.598088</v>
      </c>
      <c r="AH1103">
        <v>15592539</v>
      </c>
    </row>
    <row r="1104" spans="2:35">
      <c r="B1104" t="s">
        <v>345</v>
      </c>
      <c r="C1104" t="s">
        <v>1234</v>
      </c>
      <c r="D1104" s="3">
        <v>42939.234722222223</v>
      </c>
      <c r="F1104">
        <v>2017</v>
      </c>
      <c r="G1104" t="s">
        <v>602</v>
      </c>
      <c r="H1104" t="s">
        <v>352</v>
      </c>
      <c r="J1104">
        <v>0</v>
      </c>
      <c r="L1104">
        <v>1</v>
      </c>
      <c r="O1104" t="s">
        <v>643</v>
      </c>
      <c r="U1104">
        <v>25</v>
      </c>
      <c r="V1104">
        <v>15</v>
      </c>
      <c r="W1104" t="s">
        <v>350</v>
      </c>
      <c r="X1104" t="s">
        <v>349</v>
      </c>
      <c r="Y1104" t="s">
        <v>813</v>
      </c>
      <c r="Z1104">
        <v>2017</v>
      </c>
      <c r="AB1104">
        <v>8</v>
      </c>
      <c r="AC1104">
        <v>0.5</v>
      </c>
      <c r="AE1104" t="s">
        <v>346</v>
      </c>
      <c r="AF1104">
        <v>46.142674</v>
      </c>
      <c r="AG1104">
        <v>-115.598088</v>
      </c>
      <c r="AH1104">
        <v>15592540</v>
      </c>
    </row>
    <row r="1105" spans="2:35">
      <c r="B1105" t="s">
        <v>345</v>
      </c>
      <c r="C1105" t="s">
        <v>1235</v>
      </c>
      <c r="D1105" s="3">
        <v>42987.668749999997</v>
      </c>
      <c r="F1105">
        <v>2017</v>
      </c>
      <c r="G1105" t="s">
        <v>605</v>
      </c>
      <c r="H1105" t="s">
        <v>352</v>
      </c>
      <c r="J1105">
        <v>0</v>
      </c>
      <c r="L1105">
        <v>30</v>
      </c>
      <c r="M1105">
        <v>0</v>
      </c>
      <c r="N1105">
        <v>0</v>
      </c>
      <c r="O1105" t="s">
        <v>606</v>
      </c>
      <c r="R1105" t="s">
        <v>603</v>
      </c>
      <c r="U1105">
        <v>25</v>
      </c>
      <c r="V1105">
        <v>25</v>
      </c>
      <c r="W1105" t="s">
        <v>350</v>
      </c>
      <c r="X1105" t="s">
        <v>349</v>
      </c>
      <c r="Y1105" t="s">
        <v>348</v>
      </c>
      <c r="Z1105">
        <v>2017</v>
      </c>
      <c r="AB1105">
        <v>4</v>
      </c>
      <c r="AC1105">
        <v>1.75</v>
      </c>
      <c r="AE1105" t="s">
        <v>346</v>
      </c>
      <c r="AF1105">
        <v>46.142674</v>
      </c>
      <c r="AG1105">
        <v>-115.598088</v>
      </c>
      <c r="AH1105">
        <v>15639731</v>
      </c>
    </row>
    <row r="1106" spans="2:35">
      <c r="B1106" t="s">
        <v>345</v>
      </c>
      <c r="C1106" t="s">
        <v>1236</v>
      </c>
      <c r="D1106" s="3">
        <v>43031.359027777777</v>
      </c>
      <c r="F1106">
        <v>2017</v>
      </c>
      <c r="G1106" t="s">
        <v>578</v>
      </c>
      <c r="H1106" t="s">
        <v>352</v>
      </c>
      <c r="J1106">
        <v>0</v>
      </c>
      <c r="L1106">
        <v>1</v>
      </c>
      <c r="M1106">
        <v>158</v>
      </c>
      <c r="N1106">
        <v>40</v>
      </c>
      <c r="O1106" t="s">
        <v>575</v>
      </c>
      <c r="Q1106" t="s">
        <v>1237</v>
      </c>
      <c r="R1106" t="s">
        <v>603</v>
      </c>
      <c r="U1106">
        <v>6.5</v>
      </c>
      <c r="V1106">
        <v>6.5</v>
      </c>
      <c r="W1106" t="s">
        <v>350</v>
      </c>
      <c r="X1106" t="s">
        <v>349</v>
      </c>
      <c r="Y1106" t="s">
        <v>348</v>
      </c>
      <c r="Z1106">
        <v>2017</v>
      </c>
      <c r="AB1106">
        <v>11</v>
      </c>
      <c r="AC1106">
        <v>3.15</v>
      </c>
      <c r="AE1106" t="s">
        <v>346</v>
      </c>
      <c r="AF1106">
        <v>46.142674</v>
      </c>
      <c r="AG1106">
        <v>-115.598088</v>
      </c>
      <c r="AH1106">
        <v>15640261</v>
      </c>
      <c r="AI1106">
        <f>17-76586</f>
        <v>-76569</v>
      </c>
    </row>
    <row r="1107" spans="2:35">
      <c r="B1107" t="s">
        <v>345</v>
      </c>
      <c r="C1107" t="s">
        <v>1236</v>
      </c>
      <c r="D1107" s="3">
        <v>43031.359027777777</v>
      </c>
      <c r="F1107">
        <v>2017</v>
      </c>
      <c r="G1107" t="s">
        <v>480</v>
      </c>
      <c r="H1107" t="s">
        <v>352</v>
      </c>
      <c r="J1107">
        <v>0</v>
      </c>
      <c r="L1107">
        <v>1</v>
      </c>
      <c r="M1107">
        <v>0</v>
      </c>
      <c r="N1107">
        <v>0</v>
      </c>
      <c r="O1107" t="s">
        <v>643</v>
      </c>
      <c r="R1107" t="s">
        <v>603</v>
      </c>
      <c r="U1107">
        <v>6.5</v>
      </c>
      <c r="V1107">
        <v>6.5</v>
      </c>
      <c r="W1107" t="s">
        <v>350</v>
      </c>
      <c r="X1107" t="s">
        <v>349</v>
      </c>
      <c r="Y1107" t="s">
        <v>348</v>
      </c>
      <c r="Z1107">
        <v>2017</v>
      </c>
      <c r="AB1107">
        <v>11</v>
      </c>
      <c r="AC1107">
        <v>3.15</v>
      </c>
      <c r="AE1107" t="s">
        <v>346</v>
      </c>
      <c r="AF1107">
        <v>46.142674</v>
      </c>
      <c r="AG1107">
        <v>-115.598088</v>
      </c>
      <c r="AH1107">
        <v>15640262</v>
      </c>
    </row>
    <row r="1108" spans="2:35">
      <c r="B1108" t="s">
        <v>345</v>
      </c>
      <c r="C1108" t="s">
        <v>1236</v>
      </c>
      <c r="D1108" s="3">
        <v>43031.359027777777</v>
      </c>
      <c r="F1108">
        <v>2017</v>
      </c>
      <c r="G1108" t="s">
        <v>602</v>
      </c>
      <c r="H1108" t="s">
        <v>352</v>
      </c>
      <c r="J1108">
        <v>0</v>
      </c>
      <c r="L1108">
        <v>1</v>
      </c>
      <c r="M1108">
        <v>190</v>
      </c>
      <c r="N1108">
        <v>83</v>
      </c>
      <c r="O1108" t="s">
        <v>353</v>
      </c>
      <c r="R1108" t="s">
        <v>603</v>
      </c>
      <c r="U1108">
        <v>6.5</v>
      </c>
      <c r="V1108">
        <v>6.5</v>
      </c>
      <c r="W1108" t="s">
        <v>350</v>
      </c>
      <c r="X1108" t="s">
        <v>349</v>
      </c>
      <c r="Y1108" t="s">
        <v>348</v>
      </c>
      <c r="Z1108">
        <v>2017</v>
      </c>
      <c r="AB1108">
        <v>11</v>
      </c>
      <c r="AC1108">
        <v>3.15</v>
      </c>
      <c r="AE1108" t="s">
        <v>346</v>
      </c>
      <c r="AF1108">
        <v>46.142674</v>
      </c>
      <c r="AG1108">
        <v>-115.598088</v>
      </c>
      <c r="AH1108">
        <v>15640263</v>
      </c>
    </row>
    <row r="1109" spans="2:35">
      <c r="B1109" t="s">
        <v>345</v>
      </c>
      <c r="C1109" t="s">
        <v>1236</v>
      </c>
      <c r="D1109" s="3">
        <v>43031.359027777777</v>
      </c>
      <c r="F1109">
        <v>2017</v>
      </c>
      <c r="G1109" t="s">
        <v>578</v>
      </c>
      <c r="H1109" t="s">
        <v>352</v>
      </c>
      <c r="J1109">
        <v>0</v>
      </c>
      <c r="L1109">
        <v>1</v>
      </c>
      <c r="M1109">
        <v>135</v>
      </c>
      <c r="N1109">
        <v>24</v>
      </c>
      <c r="O1109" t="s">
        <v>575</v>
      </c>
      <c r="Q1109" t="s">
        <v>1238</v>
      </c>
      <c r="R1109" t="s">
        <v>603</v>
      </c>
      <c r="U1109">
        <v>6.5</v>
      </c>
      <c r="V1109">
        <v>6.5</v>
      </c>
      <c r="W1109" t="s">
        <v>350</v>
      </c>
      <c r="X1109" t="s">
        <v>349</v>
      </c>
      <c r="Y1109" t="s">
        <v>348</v>
      </c>
      <c r="Z1109">
        <v>2017</v>
      </c>
      <c r="AB1109">
        <v>11</v>
      </c>
      <c r="AC1109">
        <v>3.15</v>
      </c>
      <c r="AE1109" t="s">
        <v>346</v>
      </c>
      <c r="AF1109">
        <v>46.142674</v>
      </c>
      <c r="AG1109">
        <v>-115.598088</v>
      </c>
      <c r="AH1109">
        <v>15640264</v>
      </c>
      <c r="AI1109">
        <f>17-76587</f>
        <v>-76570</v>
      </c>
    </row>
    <row r="1110" spans="2:35">
      <c r="B1110" t="s">
        <v>345</v>
      </c>
      <c r="C1110" t="s">
        <v>1236</v>
      </c>
      <c r="D1110" s="3">
        <v>43031.359027777777</v>
      </c>
      <c r="F1110">
        <v>2017</v>
      </c>
      <c r="G1110" t="s">
        <v>602</v>
      </c>
      <c r="H1110" t="s">
        <v>352</v>
      </c>
      <c r="J1110">
        <v>0</v>
      </c>
      <c r="L1110">
        <v>1</v>
      </c>
      <c r="M1110">
        <v>190</v>
      </c>
      <c r="N1110">
        <v>84</v>
      </c>
      <c r="O1110" t="s">
        <v>353</v>
      </c>
      <c r="R1110" t="s">
        <v>603</v>
      </c>
      <c r="U1110">
        <v>6.5</v>
      </c>
      <c r="V1110">
        <v>6.5</v>
      </c>
      <c r="W1110" t="s">
        <v>350</v>
      </c>
      <c r="X1110" t="s">
        <v>349</v>
      </c>
      <c r="Y1110" t="s">
        <v>348</v>
      </c>
      <c r="Z1110">
        <v>2017</v>
      </c>
      <c r="AB1110">
        <v>11</v>
      </c>
      <c r="AC1110">
        <v>3.15</v>
      </c>
      <c r="AE1110" t="s">
        <v>346</v>
      </c>
      <c r="AF1110">
        <v>46.142674</v>
      </c>
      <c r="AG1110">
        <v>-115.598088</v>
      </c>
      <c r="AH1110">
        <v>15640265</v>
      </c>
    </row>
    <row r="1111" spans="2:35">
      <c r="B1111" t="s">
        <v>345</v>
      </c>
      <c r="C1111" t="s">
        <v>1236</v>
      </c>
      <c r="D1111" s="3">
        <v>43031.359027777777</v>
      </c>
      <c r="F1111">
        <v>2017</v>
      </c>
      <c r="G1111" t="s">
        <v>578</v>
      </c>
      <c r="H1111" t="s">
        <v>352</v>
      </c>
      <c r="J1111">
        <v>0</v>
      </c>
      <c r="L1111">
        <v>1</v>
      </c>
      <c r="M1111">
        <v>137</v>
      </c>
      <c r="N1111">
        <v>24</v>
      </c>
      <c r="O1111" t="s">
        <v>575</v>
      </c>
      <c r="Q1111" t="s">
        <v>1239</v>
      </c>
      <c r="R1111" t="s">
        <v>603</v>
      </c>
      <c r="U1111">
        <v>6.5</v>
      </c>
      <c r="V1111">
        <v>6.5</v>
      </c>
      <c r="W1111" t="s">
        <v>350</v>
      </c>
      <c r="X1111" t="s">
        <v>349</v>
      </c>
      <c r="Y1111" t="s">
        <v>348</v>
      </c>
      <c r="Z1111">
        <v>2017</v>
      </c>
      <c r="AB1111">
        <v>11</v>
      </c>
      <c r="AC1111">
        <v>3.15</v>
      </c>
      <c r="AE1111" t="s">
        <v>346</v>
      </c>
      <c r="AF1111">
        <v>46.142674</v>
      </c>
      <c r="AG1111">
        <v>-115.598088</v>
      </c>
      <c r="AH1111">
        <v>15640266</v>
      </c>
      <c r="AI1111">
        <f>17-76588</f>
        <v>-76571</v>
      </c>
    </row>
    <row r="1112" spans="2:35">
      <c r="B1112" t="s">
        <v>345</v>
      </c>
      <c r="C1112" t="s">
        <v>1236</v>
      </c>
      <c r="D1112" s="3">
        <v>43031.359027777777</v>
      </c>
      <c r="F1112">
        <v>2017</v>
      </c>
      <c r="G1112" t="s">
        <v>578</v>
      </c>
      <c r="H1112" t="s">
        <v>352</v>
      </c>
      <c r="J1112">
        <v>0</v>
      </c>
      <c r="L1112">
        <v>1</v>
      </c>
      <c r="M1112">
        <v>165</v>
      </c>
      <c r="N1112">
        <v>47</v>
      </c>
      <c r="O1112" t="s">
        <v>575</v>
      </c>
      <c r="Q1112" t="s">
        <v>1240</v>
      </c>
      <c r="R1112" t="s">
        <v>603</v>
      </c>
      <c r="U1112">
        <v>6.5</v>
      </c>
      <c r="V1112">
        <v>6.5</v>
      </c>
      <c r="W1112" t="s">
        <v>350</v>
      </c>
      <c r="X1112" t="s">
        <v>349</v>
      </c>
      <c r="Y1112" t="s">
        <v>348</v>
      </c>
      <c r="Z1112">
        <v>2017</v>
      </c>
      <c r="AB1112">
        <v>11</v>
      </c>
      <c r="AC1112">
        <v>3.15</v>
      </c>
      <c r="AE1112" t="s">
        <v>346</v>
      </c>
      <c r="AF1112">
        <v>46.142674</v>
      </c>
      <c r="AG1112">
        <v>-115.598088</v>
      </c>
      <c r="AH1112">
        <v>15640267</v>
      </c>
      <c r="AI1112">
        <f>17-76583</f>
        <v>-76566</v>
      </c>
    </row>
    <row r="1113" spans="2:35">
      <c r="B1113" t="s">
        <v>345</v>
      </c>
      <c r="C1113" t="s">
        <v>1236</v>
      </c>
      <c r="D1113" s="3">
        <v>43031.359027777777</v>
      </c>
      <c r="F1113">
        <v>2017</v>
      </c>
      <c r="G1113" t="s">
        <v>578</v>
      </c>
      <c r="H1113" t="s">
        <v>352</v>
      </c>
      <c r="J1113">
        <v>0</v>
      </c>
      <c r="L1113">
        <v>1</v>
      </c>
      <c r="M1113">
        <v>177</v>
      </c>
      <c r="N1113">
        <v>60</v>
      </c>
      <c r="O1113" t="s">
        <v>575</v>
      </c>
      <c r="Q1113" t="s">
        <v>1241</v>
      </c>
      <c r="R1113" t="s">
        <v>603</v>
      </c>
      <c r="U1113">
        <v>6.5</v>
      </c>
      <c r="V1113">
        <v>6.5</v>
      </c>
      <c r="W1113" t="s">
        <v>350</v>
      </c>
      <c r="X1113" t="s">
        <v>349</v>
      </c>
      <c r="Y1113" t="s">
        <v>348</v>
      </c>
      <c r="Z1113">
        <v>2017</v>
      </c>
      <c r="AB1113">
        <v>11</v>
      </c>
      <c r="AC1113">
        <v>3.15</v>
      </c>
      <c r="AE1113" t="s">
        <v>346</v>
      </c>
      <c r="AF1113">
        <v>46.142674</v>
      </c>
      <c r="AG1113">
        <v>-115.598088</v>
      </c>
      <c r="AH1113">
        <v>15640268</v>
      </c>
      <c r="AI1113">
        <f>17-76584</f>
        <v>-76567</v>
      </c>
    </row>
    <row r="1114" spans="2:35">
      <c r="B1114" t="s">
        <v>345</v>
      </c>
      <c r="C1114" t="s">
        <v>1236</v>
      </c>
      <c r="D1114" s="3">
        <v>43031.359027777777</v>
      </c>
      <c r="F1114">
        <v>2017</v>
      </c>
      <c r="G1114" t="s">
        <v>574</v>
      </c>
      <c r="H1114" t="s">
        <v>352</v>
      </c>
      <c r="J1114">
        <v>0</v>
      </c>
      <c r="L1114">
        <v>1</v>
      </c>
      <c r="M1114">
        <v>77</v>
      </c>
      <c r="N1114">
        <v>5</v>
      </c>
      <c r="O1114" t="s">
        <v>575</v>
      </c>
      <c r="Q1114" t="s">
        <v>576</v>
      </c>
      <c r="R1114" t="s">
        <v>603</v>
      </c>
      <c r="U1114">
        <v>6.5</v>
      </c>
      <c r="V1114">
        <v>6.5</v>
      </c>
      <c r="W1114" t="s">
        <v>350</v>
      </c>
      <c r="X1114" t="s">
        <v>349</v>
      </c>
      <c r="Y1114" t="s">
        <v>348</v>
      </c>
      <c r="Z1114">
        <v>2017</v>
      </c>
      <c r="AB1114">
        <v>11</v>
      </c>
      <c r="AC1114">
        <v>3.15</v>
      </c>
      <c r="AE1114" t="s">
        <v>346</v>
      </c>
      <c r="AF1114">
        <v>46.142674</v>
      </c>
      <c r="AG1114">
        <v>-115.598088</v>
      </c>
      <c r="AH1114">
        <v>15640269</v>
      </c>
    </row>
    <row r="1115" spans="2:35">
      <c r="B1115" t="s">
        <v>345</v>
      </c>
      <c r="C1115" t="s">
        <v>1236</v>
      </c>
      <c r="D1115" s="3">
        <v>43031.359027777777</v>
      </c>
      <c r="F1115">
        <v>2017</v>
      </c>
      <c r="G1115" t="s">
        <v>578</v>
      </c>
      <c r="H1115" t="s">
        <v>352</v>
      </c>
      <c r="J1115">
        <v>0</v>
      </c>
      <c r="L1115">
        <v>1</v>
      </c>
      <c r="M1115">
        <v>167</v>
      </c>
      <c r="N1115">
        <v>48</v>
      </c>
      <c r="O1115" t="s">
        <v>575</v>
      </c>
      <c r="Q1115" t="s">
        <v>1242</v>
      </c>
      <c r="R1115" t="s">
        <v>603</v>
      </c>
      <c r="U1115">
        <v>6.5</v>
      </c>
      <c r="V1115">
        <v>6.5</v>
      </c>
      <c r="W1115" t="s">
        <v>350</v>
      </c>
      <c r="X1115" t="s">
        <v>349</v>
      </c>
      <c r="Y1115" t="s">
        <v>348</v>
      </c>
      <c r="Z1115">
        <v>2017</v>
      </c>
      <c r="AB1115">
        <v>11</v>
      </c>
      <c r="AC1115">
        <v>3.15</v>
      </c>
      <c r="AE1115" t="s">
        <v>346</v>
      </c>
      <c r="AF1115">
        <v>46.142674</v>
      </c>
      <c r="AG1115">
        <v>-115.598088</v>
      </c>
      <c r="AH1115">
        <v>15640270</v>
      </c>
      <c r="AI1115">
        <f>17-76582</f>
        <v>-76565</v>
      </c>
    </row>
    <row r="1116" spans="2:35">
      <c r="B1116" t="s">
        <v>345</v>
      </c>
      <c r="C1116" t="s">
        <v>1236</v>
      </c>
      <c r="D1116" s="3">
        <v>43031.359027777777</v>
      </c>
      <c r="F1116">
        <v>2017</v>
      </c>
      <c r="G1116" t="s">
        <v>482</v>
      </c>
      <c r="H1116" t="s">
        <v>352</v>
      </c>
      <c r="J1116">
        <v>0</v>
      </c>
      <c r="L1116">
        <v>7</v>
      </c>
      <c r="M1116">
        <v>0</v>
      </c>
      <c r="N1116">
        <v>0</v>
      </c>
      <c r="O1116" t="s">
        <v>643</v>
      </c>
      <c r="R1116" t="s">
        <v>603</v>
      </c>
      <c r="U1116">
        <v>6.5</v>
      </c>
      <c r="V1116">
        <v>6.5</v>
      </c>
      <c r="W1116" t="s">
        <v>350</v>
      </c>
      <c r="X1116" t="s">
        <v>349</v>
      </c>
      <c r="Y1116" t="s">
        <v>348</v>
      </c>
      <c r="Z1116">
        <v>2017</v>
      </c>
      <c r="AB1116">
        <v>11</v>
      </c>
      <c r="AC1116">
        <v>3.15</v>
      </c>
      <c r="AE1116" t="s">
        <v>346</v>
      </c>
      <c r="AF1116">
        <v>46.142674</v>
      </c>
      <c r="AG1116">
        <v>-115.598088</v>
      </c>
      <c r="AH1116">
        <v>15640271</v>
      </c>
    </row>
    <row r="1117" spans="2:35">
      <c r="B1117" t="s">
        <v>345</v>
      </c>
      <c r="C1117" t="s">
        <v>1236</v>
      </c>
      <c r="D1117" s="3">
        <v>43031.359027777777</v>
      </c>
      <c r="F1117">
        <v>2017</v>
      </c>
      <c r="G1117" t="s">
        <v>602</v>
      </c>
      <c r="H1117" t="s">
        <v>352</v>
      </c>
      <c r="J1117">
        <v>0</v>
      </c>
      <c r="L1117">
        <v>1</v>
      </c>
      <c r="M1117">
        <v>203</v>
      </c>
      <c r="N1117">
        <v>109</v>
      </c>
      <c r="O1117" t="s">
        <v>353</v>
      </c>
      <c r="R1117" t="s">
        <v>603</v>
      </c>
      <c r="U1117">
        <v>6.5</v>
      </c>
      <c r="V1117">
        <v>6.5</v>
      </c>
      <c r="W1117" t="s">
        <v>350</v>
      </c>
      <c r="X1117" t="s">
        <v>349</v>
      </c>
      <c r="Y1117" t="s">
        <v>348</v>
      </c>
      <c r="Z1117">
        <v>2017</v>
      </c>
      <c r="AB1117">
        <v>11</v>
      </c>
      <c r="AC1117">
        <v>3.15</v>
      </c>
      <c r="AE1117" t="s">
        <v>346</v>
      </c>
      <c r="AF1117">
        <v>46.142674</v>
      </c>
      <c r="AG1117">
        <v>-115.598088</v>
      </c>
      <c r="AH1117">
        <v>15640272</v>
      </c>
    </row>
    <row r="1118" spans="2:35">
      <c r="B1118" t="s">
        <v>345</v>
      </c>
      <c r="C1118" t="s">
        <v>1236</v>
      </c>
      <c r="D1118" s="3">
        <v>43031.359027777777</v>
      </c>
      <c r="F1118">
        <v>2017</v>
      </c>
      <c r="G1118" t="s">
        <v>602</v>
      </c>
      <c r="H1118" t="s">
        <v>352</v>
      </c>
      <c r="J1118">
        <v>0</v>
      </c>
      <c r="L1118">
        <v>1</v>
      </c>
      <c r="M1118">
        <v>195</v>
      </c>
      <c r="N1118">
        <v>89</v>
      </c>
      <c r="O1118" t="s">
        <v>353</v>
      </c>
      <c r="R1118" t="s">
        <v>603</v>
      </c>
      <c r="U1118">
        <v>6.5</v>
      </c>
      <c r="V1118">
        <v>6.5</v>
      </c>
      <c r="W1118" t="s">
        <v>350</v>
      </c>
      <c r="X1118" t="s">
        <v>349</v>
      </c>
      <c r="Y1118" t="s">
        <v>348</v>
      </c>
      <c r="Z1118">
        <v>2017</v>
      </c>
      <c r="AB1118">
        <v>11</v>
      </c>
      <c r="AC1118">
        <v>3.15</v>
      </c>
      <c r="AE1118" t="s">
        <v>346</v>
      </c>
      <c r="AF1118">
        <v>46.142674</v>
      </c>
      <c r="AG1118">
        <v>-115.598088</v>
      </c>
      <c r="AH1118">
        <v>15640273</v>
      </c>
    </row>
    <row r="1119" spans="2:35">
      <c r="B1119" t="s">
        <v>345</v>
      </c>
      <c r="C1119" t="s">
        <v>1236</v>
      </c>
      <c r="D1119" s="3">
        <v>43031.359027777777</v>
      </c>
      <c r="F1119">
        <v>2017</v>
      </c>
      <c r="G1119" t="s">
        <v>602</v>
      </c>
      <c r="H1119" t="s">
        <v>352</v>
      </c>
      <c r="J1119">
        <v>0</v>
      </c>
      <c r="L1119">
        <v>1</v>
      </c>
      <c r="M1119">
        <v>198</v>
      </c>
      <c r="N1119">
        <v>81</v>
      </c>
      <c r="O1119" t="s">
        <v>353</v>
      </c>
      <c r="R1119" t="s">
        <v>603</v>
      </c>
      <c r="U1119">
        <v>6.5</v>
      </c>
      <c r="V1119">
        <v>6.5</v>
      </c>
      <c r="W1119" t="s">
        <v>350</v>
      </c>
      <c r="X1119" t="s">
        <v>349</v>
      </c>
      <c r="Y1119" t="s">
        <v>348</v>
      </c>
      <c r="Z1119">
        <v>2017</v>
      </c>
      <c r="AB1119">
        <v>11</v>
      </c>
      <c r="AC1119">
        <v>3.15</v>
      </c>
      <c r="AE1119" t="s">
        <v>346</v>
      </c>
      <c r="AF1119">
        <v>46.142674</v>
      </c>
      <c r="AG1119">
        <v>-115.598088</v>
      </c>
      <c r="AH1119">
        <v>15640274</v>
      </c>
    </row>
    <row r="1120" spans="2:35">
      <c r="B1120" t="s">
        <v>345</v>
      </c>
      <c r="C1120" t="s">
        <v>1236</v>
      </c>
      <c r="D1120" s="3">
        <v>43031.359027777777</v>
      </c>
      <c r="F1120">
        <v>2017</v>
      </c>
      <c r="G1120" t="s">
        <v>574</v>
      </c>
      <c r="H1120" t="s">
        <v>352</v>
      </c>
      <c r="J1120">
        <v>0</v>
      </c>
      <c r="L1120">
        <v>1</v>
      </c>
      <c r="M1120">
        <v>82</v>
      </c>
      <c r="N1120">
        <v>6</v>
      </c>
      <c r="O1120" t="s">
        <v>575</v>
      </c>
      <c r="Q1120" t="s">
        <v>576</v>
      </c>
      <c r="R1120" t="s">
        <v>603</v>
      </c>
      <c r="U1120">
        <v>6.5</v>
      </c>
      <c r="V1120">
        <v>6.5</v>
      </c>
      <c r="W1120" t="s">
        <v>350</v>
      </c>
      <c r="X1120" t="s">
        <v>349</v>
      </c>
      <c r="Y1120" t="s">
        <v>348</v>
      </c>
      <c r="Z1120">
        <v>2017</v>
      </c>
      <c r="AB1120">
        <v>11</v>
      </c>
      <c r="AC1120">
        <v>3.15</v>
      </c>
      <c r="AE1120" t="s">
        <v>346</v>
      </c>
      <c r="AF1120">
        <v>46.142674</v>
      </c>
      <c r="AG1120">
        <v>-115.598088</v>
      </c>
      <c r="AH1120">
        <v>15640275</v>
      </c>
    </row>
    <row r="1121" spans="2:35">
      <c r="B1121" t="s">
        <v>345</v>
      </c>
      <c r="C1121" t="s">
        <v>1236</v>
      </c>
      <c r="D1121" s="3">
        <v>43031.359027777777</v>
      </c>
      <c r="F1121">
        <v>2017</v>
      </c>
      <c r="G1121" t="s">
        <v>602</v>
      </c>
      <c r="H1121" t="s">
        <v>352</v>
      </c>
      <c r="J1121">
        <v>0</v>
      </c>
      <c r="L1121">
        <v>1</v>
      </c>
      <c r="M1121">
        <v>220</v>
      </c>
      <c r="N1121">
        <v>129</v>
      </c>
      <c r="O1121" t="s">
        <v>353</v>
      </c>
      <c r="R1121" t="s">
        <v>603</v>
      </c>
      <c r="U1121">
        <v>6.5</v>
      </c>
      <c r="V1121">
        <v>6.5</v>
      </c>
      <c r="W1121" t="s">
        <v>350</v>
      </c>
      <c r="X1121" t="s">
        <v>349</v>
      </c>
      <c r="Y1121" t="s">
        <v>348</v>
      </c>
      <c r="Z1121">
        <v>2017</v>
      </c>
      <c r="AB1121">
        <v>11</v>
      </c>
      <c r="AC1121">
        <v>3.15</v>
      </c>
      <c r="AE1121" t="s">
        <v>346</v>
      </c>
      <c r="AF1121">
        <v>46.142674</v>
      </c>
      <c r="AG1121">
        <v>-115.598088</v>
      </c>
      <c r="AH1121">
        <v>15640276</v>
      </c>
    </row>
    <row r="1122" spans="2:35">
      <c r="B1122" t="s">
        <v>345</v>
      </c>
      <c r="C1122" t="s">
        <v>1236</v>
      </c>
      <c r="D1122" s="3">
        <v>43031.359027777777</v>
      </c>
      <c r="F1122">
        <v>2017</v>
      </c>
      <c r="G1122" t="s">
        <v>605</v>
      </c>
      <c r="H1122" t="s">
        <v>352</v>
      </c>
      <c r="J1122">
        <v>0</v>
      </c>
      <c r="L1122">
        <v>1</v>
      </c>
      <c r="M1122">
        <v>113</v>
      </c>
      <c r="N1122">
        <v>18</v>
      </c>
      <c r="O1122" t="s">
        <v>353</v>
      </c>
      <c r="R1122" t="s">
        <v>603</v>
      </c>
      <c r="U1122">
        <v>6.5</v>
      </c>
      <c r="V1122">
        <v>6.5</v>
      </c>
      <c r="W1122" t="s">
        <v>350</v>
      </c>
      <c r="X1122" t="s">
        <v>349</v>
      </c>
      <c r="Y1122" t="s">
        <v>348</v>
      </c>
      <c r="Z1122">
        <v>2017</v>
      </c>
      <c r="AB1122">
        <v>11</v>
      </c>
      <c r="AC1122">
        <v>3.15</v>
      </c>
      <c r="AE1122" t="s">
        <v>346</v>
      </c>
      <c r="AF1122">
        <v>46.142674</v>
      </c>
      <c r="AG1122">
        <v>-115.598088</v>
      </c>
      <c r="AH1122">
        <v>15640277</v>
      </c>
    </row>
    <row r="1123" spans="2:35">
      <c r="B1123" t="s">
        <v>345</v>
      </c>
      <c r="C1123" t="s">
        <v>1236</v>
      </c>
      <c r="D1123" s="3">
        <v>43031.359027777777</v>
      </c>
      <c r="F1123">
        <v>2017</v>
      </c>
      <c r="G1123" t="s">
        <v>578</v>
      </c>
      <c r="H1123" t="s">
        <v>352</v>
      </c>
      <c r="J1123">
        <v>0</v>
      </c>
      <c r="L1123">
        <v>1</v>
      </c>
      <c r="M1123">
        <v>133</v>
      </c>
      <c r="N1123">
        <v>24</v>
      </c>
      <c r="O1123" t="s">
        <v>575</v>
      </c>
      <c r="Q1123" t="s">
        <v>1243</v>
      </c>
      <c r="R1123" t="s">
        <v>603</v>
      </c>
      <c r="U1123">
        <v>6.5</v>
      </c>
      <c r="V1123">
        <v>6.5</v>
      </c>
      <c r="W1123" t="s">
        <v>350</v>
      </c>
      <c r="X1123" t="s">
        <v>349</v>
      </c>
      <c r="Y1123" t="s">
        <v>348</v>
      </c>
      <c r="Z1123">
        <v>2017</v>
      </c>
      <c r="AB1123">
        <v>11</v>
      </c>
      <c r="AC1123">
        <v>3.15</v>
      </c>
      <c r="AE1123" t="s">
        <v>346</v>
      </c>
      <c r="AF1123">
        <v>46.142674</v>
      </c>
      <c r="AG1123">
        <v>-115.598088</v>
      </c>
      <c r="AH1123">
        <v>15640278</v>
      </c>
      <c r="AI1123">
        <f>17-76585</f>
        <v>-76568</v>
      </c>
    </row>
    <row r="1124" spans="2:35">
      <c r="B1124" t="s">
        <v>345</v>
      </c>
      <c r="C1124" t="s">
        <v>1236</v>
      </c>
      <c r="D1124" s="3">
        <v>43031.359027777777</v>
      </c>
      <c r="F1124">
        <v>2017</v>
      </c>
      <c r="G1124" t="s">
        <v>604</v>
      </c>
      <c r="H1124" t="s">
        <v>352</v>
      </c>
      <c r="J1124">
        <v>0</v>
      </c>
      <c r="L1124">
        <v>1</v>
      </c>
      <c r="M1124">
        <v>0</v>
      </c>
      <c r="N1124">
        <v>0</v>
      </c>
      <c r="O1124" t="s">
        <v>643</v>
      </c>
      <c r="R1124" t="s">
        <v>603</v>
      </c>
      <c r="U1124">
        <v>6.5</v>
      </c>
      <c r="V1124">
        <v>6.5</v>
      </c>
      <c r="W1124" t="s">
        <v>350</v>
      </c>
      <c r="X1124" t="s">
        <v>349</v>
      </c>
      <c r="Y1124" t="s">
        <v>348</v>
      </c>
      <c r="Z1124">
        <v>2017</v>
      </c>
      <c r="AB1124">
        <v>11</v>
      </c>
      <c r="AC1124">
        <v>3.15</v>
      </c>
      <c r="AE1124" t="s">
        <v>346</v>
      </c>
      <c r="AF1124">
        <v>46.142674</v>
      </c>
      <c r="AG1124">
        <v>-115.598088</v>
      </c>
      <c r="AH1124">
        <v>15640279</v>
      </c>
    </row>
    <row r="1125" spans="2:35">
      <c r="B1125" t="s">
        <v>345</v>
      </c>
      <c r="C1125" t="s">
        <v>1236</v>
      </c>
      <c r="D1125" s="3">
        <v>43031.359027777777</v>
      </c>
      <c r="F1125">
        <v>2017</v>
      </c>
      <c r="G1125" t="s">
        <v>602</v>
      </c>
      <c r="H1125" t="s">
        <v>352</v>
      </c>
      <c r="J1125">
        <v>0</v>
      </c>
      <c r="L1125">
        <v>1</v>
      </c>
      <c r="M1125">
        <v>232</v>
      </c>
      <c r="N1125">
        <v>147</v>
      </c>
      <c r="O1125" t="s">
        <v>353</v>
      </c>
      <c r="R1125" t="s">
        <v>603</v>
      </c>
      <c r="U1125">
        <v>6.5</v>
      </c>
      <c r="V1125">
        <v>6.5</v>
      </c>
      <c r="W1125" t="s">
        <v>350</v>
      </c>
      <c r="X1125" t="s">
        <v>349</v>
      </c>
      <c r="Y1125" t="s">
        <v>348</v>
      </c>
      <c r="Z1125">
        <v>2017</v>
      </c>
      <c r="AB1125">
        <v>11</v>
      </c>
      <c r="AC1125">
        <v>3.15</v>
      </c>
      <c r="AE1125" t="s">
        <v>346</v>
      </c>
      <c r="AF1125">
        <v>46.142674</v>
      </c>
      <c r="AG1125">
        <v>-115.598088</v>
      </c>
      <c r="AH1125">
        <v>15640280</v>
      </c>
    </row>
    <row r="1126" spans="2:35">
      <c r="B1126" t="s">
        <v>345</v>
      </c>
      <c r="C1126" t="s">
        <v>1236</v>
      </c>
      <c r="D1126" s="3">
        <v>43031.359027777777</v>
      </c>
      <c r="F1126">
        <v>2017</v>
      </c>
      <c r="G1126" t="s">
        <v>602</v>
      </c>
      <c r="H1126" t="s">
        <v>352</v>
      </c>
      <c r="J1126">
        <v>0</v>
      </c>
      <c r="L1126">
        <v>1</v>
      </c>
      <c r="M1126">
        <v>165</v>
      </c>
      <c r="N1126">
        <v>51</v>
      </c>
      <c r="O1126" t="s">
        <v>353</v>
      </c>
      <c r="R1126" t="s">
        <v>603</v>
      </c>
      <c r="U1126">
        <v>6.5</v>
      </c>
      <c r="V1126">
        <v>6.5</v>
      </c>
      <c r="W1126" t="s">
        <v>350</v>
      </c>
      <c r="X1126" t="s">
        <v>349</v>
      </c>
      <c r="Y1126" t="s">
        <v>348</v>
      </c>
      <c r="Z1126">
        <v>2017</v>
      </c>
      <c r="AB1126">
        <v>11</v>
      </c>
      <c r="AC1126">
        <v>3.15</v>
      </c>
      <c r="AE1126" t="s">
        <v>346</v>
      </c>
      <c r="AF1126">
        <v>46.142674</v>
      </c>
      <c r="AG1126">
        <v>-115.598088</v>
      </c>
      <c r="AH1126">
        <v>15640281</v>
      </c>
    </row>
    <row r="1127" spans="2:35">
      <c r="B1127" t="s">
        <v>345</v>
      </c>
      <c r="C1127" t="s">
        <v>1236</v>
      </c>
      <c r="D1127" s="3">
        <v>43031.359027777777</v>
      </c>
      <c r="F1127">
        <v>2017</v>
      </c>
      <c r="G1127" t="s">
        <v>602</v>
      </c>
      <c r="H1127" t="s">
        <v>352</v>
      </c>
      <c r="J1127">
        <v>0</v>
      </c>
      <c r="L1127">
        <v>1</v>
      </c>
      <c r="M1127">
        <v>205</v>
      </c>
      <c r="N1127">
        <v>110</v>
      </c>
      <c r="O1127" t="s">
        <v>353</v>
      </c>
      <c r="R1127" t="s">
        <v>603</v>
      </c>
      <c r="U1127">
        <v>6.5</v>
      </c>
      <c r="V1127">
        <v>6.5</v>
      </c>
      <c r="W1127" t="s">
        <v>350</v>
      </c>
      <c r="X1127" t="s">
        <v>349</v>
      </c>
      <c r="Y1127" t="s">
        <v>348</v>
      </c>
      <c r="Z1127">
        <v>2017</v>
      </c>
      <c r="AB1127">
        <v>11</v>
      </c>
      <c r="AC1127">
        <v>3.15</v>
      </c>
      <c r="AE1127" t="s">
        <v>346</v>
      </c>
      <c r="AF1127">
        <v>46.142674</v>
      </c>
      <c r="AG1127">
        <v>-115.598088</v>
      </c>
      <c r="AH1127">
        <v>15640282</v>
      </c>
    </row>
    <row r="1128" spans="2:35">
      <c r="B1128" t="s">
        <v>345</v>
      </c>
      <c r="C1128" t="s">
        <v>1244</v>
      </c>
      <c r="D1128" s="3">
        <v>42805.458333333336</v>
      </c>
      <c r="F1128">
        <v>2017</v>
      </c>
      <c r="G1128" t="s">
        <v>574</v>
      </c>
      <c r="H1128" t="s">
        <v>352</v>
      </c>
      <c r="J1128">
        <v>0</v>
      </c>
      <c r="L1128">
        <v>1</v>
      </c>
      <c r="M1128">
        <v>108</v>
      </c>
      <c r="N1128">
        <v>13</v>
      </c>
      <c r="O1128" t="s">
        <v>575</v>
      </c>
      <c r="Q1128" t="s">
        <v>576</v>
      </c>
      <c r="U1128">
        <v>5</v>
      </c>
      <c r="V1128">
        <v>5</v>
      </c>
      <c r="W1128" t="s">
        <v>350</v>
      </c>
      <c r="X1128" t="s">
        <v>349</v>
      </c>
      <c r="Y1128" t="s">
        <v>580</v>
      </c>
      <c r="Z1128">
        <v>2017</v>
      </c>
      <c r="AB1128">
        <v>13</v>
      </c>
      <c r="AC1128">
        <v>4.5</v>
      </c>
      <c r="AE1128" t="s">
        <v>346</v>
      </c>
      <c r="AF1128">
        <v>46.142674</v>
      </c>
      <c r="AG1128">
        <v>-115.598088</v>
      </c>
      <c r="AH1128">
        <v>15641570</v>
      </c>
    </row>
    <row r="1129" spans="2:35">
      <c r="B1129" t="s">
        <v>345</v>
      </c>
      <c r="C1129" t="s">
        <v>1244</v>
      </c>
      <c r="D1129" s="3">
        <v>42805.458333333336</v>
      </c>
      <c r="F1129">
        <v>2017</v>
      </c>
      <c r="G1129" t="s">
        <v>574</v>
      </c>
      <c r="H1129" t="s">
        <v>352</v>
      </c>
      <c r="J1129">
        <v>0</v>
      </c>
      <c r="L1129">
        <v>1</v>
      </c>
      <c r="M1129">
        <v>105</v>
      </c>
      <c r="N1129">
        <v>11</v>
      </c>
      <c r="O1129" t="s">
        <v>575</v>
      </c>
      <c r="Q1129" t="s">
        <v>576</v>
      </c>
      <c r="U1129">
        <v>5</v>
      </c>
      <c r="V1129">
        <v>5</v>
      </c>
      <c r="W1129" t="s">
        <v>350</v>
      </c>
      <c r="X1129" t="s">
        <v>349</v>
      </c>
      <c r="Y1129" t="s">
        <v>580</v>
      </c>
      <c r="Z1129">
        <v>2017</v>
      </c>
      <c r="AB1129">
        <v>13</v>
      </c>
      <c r="AC1129">
        <v>4.5</v>
      </c>
      <c r="AE1129" t="s">
        <v>346</v>
      </c>
      <c r="AF1129">
        <v>46.142674</v>
      </c>
      <c r="AG1129">
        <v>-115.598088</v>
      </c>
      <c r="AH1129">
        <v>15641571</v>
      </c>
    </row>
    <row r="1130" spans="2:35">
      <c r="B1130" t="s">
        <v>345</v>
      </c>
      <c r="C1130" t="s">
        <v>1244</v>
      </c>
      <c r="D1130" s="3">
        <v>42805.458333333336</v>
      </c>
      <c r="F1130">
        <v>2017</v>
      </c>
      <c r="G1130" t="s">
        <v>605</v>
      </c>
      <c r="H1130" t="s">
        <v>352</v>
      </c>
      <c r="J1130">
        <v>0</v>
      </c>
      <c r="L1130">
        <v>1</v>
      </c>
      <c r="M1130">
        <v>85</v>
      </c>
      <c r="N1130">
        <v>9</v>
      </c>
      <c r="O1130" t="s">
        <v>353</v>
      </c>
      <c r="U1130">
        <v>5</v>
      </c>
      <c r="V1130">
        <v>5</v>
      </c>
      <c r="W1130" t="s">
        <v>350</v>
      </c>
      <c r="X1130" t="s">
        <v>349</v>
      </c>
      <c r="Y1130" t="s">
        <v>580</v>
      </c>
      <c r="Z1130">
        <v>2017</v>
      </c>
      <c r="AB1130">
        <v>13</v>
      </c>
      <c r="AC1130">
        <v>4.5</v>
      </c>
      <c r="AE1130" t="s">
        <v>346</v>
      </c>
      <c r="AF1130">
        <v>46.142674</v>
      </c>
      <c r="AG1130">
        <v>-115.598088</v>
      </c>
      <c r="AH1130">
        <v>15641572</v>
      </c>
    </row>
    <row r="1131" spans="2:35">
      <c r="B1131" t="s">
        <v>345</v>
      </c>
      <c r="C1131" t="s">
        <v>1244</v>
      </c>
      <c r="D1131" s="3">
        <v>42805.458333333336</v>
      </c>
      <c r="F1131">
        <v>2017</v>
      </c>
      <c r="G1131" t="s">
        <v>605</v>
      </c>
      <c r="H1131" t="s">
        <v>352</v>
      </c>
      <c r="J1131">
        <v>0</v>
      </c>
      <c r="L1131">
        <v>1</v>
      </c>
      <c r="M1131">
        <v>78</v>
      </c>
      <c r="N1131">
        <v>4</v>
      </c>
      <c r="O1131" t="s">
        <v>353</v>
      </c>
      <c r="U1131">
        <v>5</v>
      </c>
      <c r="V1131">
        <v>5</v>
      </c>
      <c r="W1131" t="s">
        <v>350</v>
      </c>
      <c r="X1131" t="s">
        <v>349</v>
      </c>
      <c r="Y1131" t="s">
        <v>580</v>
      </c>
      <c r="Z1131">
        <v>2017</v>
      </c>
      <c r="AB1131">
        <v>13</v>
      </c>
      <c r="AC1131">
        <v>4.5</v>
      </c>
      <c r="AE1131" t="s">
        <v>346</v>
      </c>
      <c r="AF1131">
        <v>46.142674</v>
      </c>
      <c r="AG1131">
        <v>-115.598088</v>
      </c>
      <c r="AH1131">
        <v>15641573</v>
      </c>
    </row>
    <row r="1132" spans="2:35">
      <c r="B1132" t="s">
        <v>345</v>
      </c>
      <c r="C1132" t="s">
        <v>1244</v>
      </c>
      <c r="D1132" s="3">
        <v>42805.458333333336</v>
      </c>
      <c r="F1132">
        <v>2017</v>
      </c>
      <c r="G1132" t="s">
        <v>574</v>
      </c>
      <c r="H1132" t="s">
        <v>352</v>
      </c>
      <c r="J1132">
        <v>0</v>
      </c>
      <c r="L1132">
        <v>1</v>
      </c>
      <c r="M1132">
        <v>107</v>
      </c>
      <c r="N1132">
        <v>9</v>
      </c>
      <c r="O1132" t="s">
        <v>575</v>
      </c>
      <c r="Q1132" t="s">
        <v>576</v>
      </c>
      <c r="U1132">
        <v>5</v>
      </c>
      <c r="V1132">
        <v>5</v>
      </c>
      <c r="W1132" t="s">
        <v>350</v>
      </c>
      <c r="X1132" t="s">
        <v>349</v>
      </c>
      <c r="Y1132" t="s">
        <v>580</v>
      </c>
      <c r="Z1132">
        <v>2017</v>
      </c>
      <c r="AB1132">
        <v>13</v>
      </c>
      <c r="AC1132">
        <v>4.5</v>
      </c>
      <c r="AE1132" t="s">
        <v>346</v>
      </c>
      <c r="AF1132">
        <v>46.142674</v>
      </c>
      <c r="AG1132">
        <v>-115.598088</v>
      </c>
      <c r="AH1132">
        <v>15641574</v>
      </c>
    </row>
    <row r="1133" spans="2:35">
      <c r="B1133" t="s">
        <v>345</v>
      </c>
      <c r="C1133" t="s">
        <v>1245</v>
      </c>
      <c r="D1133" s="3">
        <v>42878.333333333336</v>
      </c>
      <c r="F1133">
        <v>2017</v>
      </c>
      <c r="G1133" t="s">
        <v>578</v>
      </c>
      <c r="H1133" t="s">
        <v>352</v>
      </c>
      <c r="J1133">
        <v>0</v>
      </c>
      <c r="L1133">
        <v>1</v>
      </c>
      <c r="M1133">
        <v>146</v>
      </c>
      <c r="N1133">
        <v>30</v>
      </c>
      <c r="O1133" t="s">
        <v>575</v>
      </c>
      <c r="Q1133" t="s">
        <v>1246</v>
      </c>
      <c r="R1133" t="s">
        <v>1247</v>
      </c>
      <c r="U1133">
        <v>8.5</v>
      </c>
      <c r="V1133">
        <v>8</v>
      </c>
      <c r="W1133" t="s">
        <v>350</v>
      </c>
      <c r="X1133" t="s">
        <v>349</v>
      </c>
      <c r="Y1133" t="s">
        <v>580</v>
      </c>
      <c r="Z1133">
        <v>2017</v>
      </c>
      <c r="AB1133">
        <v>15</v>
      </c>
      <c r="AC1133">
        <v>7.59</v>
      </c>
      <c r="AE1133" t="s">
        <v>346</v>
      </c>
      <c r="AF1133">
        <v>46.142674</v>
      </c>
      <c r="AG1133">
        <v>-115.598088</v>
      </c>
      <c r="AH1133">
        <v>15642194</v>
      </c>
    </row>
    <row r="1134" spans="2:35">
      <c r="B1134" t="s">
        <v>345</v>
      </c>
      <c r="C1134" t="s">
        <v>1248</v>
      </c>
      <c r="D1134" s="3">
        <v>42903.343055555553</v>
      </c>
      <c r="F1134">
        <v>2017</v>
      </c>
      <c r="G1134" t="s">
        <v>574</v>
      </c>
      <c r="H1134" t="s">
        <v>352</v>
      </c>
      <c r="J1134">
        <v>0</v>
      </c>
      <c r="L1134">
        <v>1</v>
      </c>
      <c r="M1134">
        <v>50</v>
      </c>
      <c r="N1134">
        <v>2</v>
      </c>
      <c r="O1134" t="s">
        <v>609</v>
      </c>
      <c r="R1134" t="s">
        <v>1249</v>
      </c>
      <c r="U1134">
        <v>10</v>
      </c>
      <c r="V1134">
        <v>9</v>
      </c>
      <c r="W1134" t="s">
        <v>350</v>
      </c>
      <c r="X1134" t="s">
        <v>349</v>
      </c>
      <c r="Y1134" t="s">
        <v>580</v>
      </c>
      <c r="Z1134">
        <v>2017</v>
      </c>
      <c r="AB1134">
        <v>13</v>
      </c>
      <c r="AC1134">
        <v>6.71</v>
      </c>
      <c r="AE1134" t="s">
        <v>346</v>
      </c>
      <c r="AF1134">
        <v>46.142674</v>
      </c>
      <c r="AG1134">
        <v>-115.598088</v>
      </c>
      <c r="AH1134">
        <v>15421661</v>
      </c>
    </row>
    <row r="1135" spans="2:35">
      <c r="B1135" t="s">
        <v>345</v>
      </c>
      <c r="C1135" t="s">
        <v>1248</v>
      </c>
      <c r="D1135" s="3">
        <v>42903.343055555553</v>
      </c>
      <c r="F1135">
        <v>2017</v>
      </c>
      <c r="G1135" t="s">
        <v>615</v>
      </c>
      <c r="H1135" t="s">
        <v>352</v>
      </c>
      <c r="J1135">
        <v>0</v>
      </c>
      <c r="L1135">
        <v>1</v>
      </c>
      <c r="M1135">
        <v>180</v>
      </c>
      <c r="N1135">
        <v>54</v>
      </c>
      <c r="O1135" t="s">
        <v>353</v>
      </c>
      <c r="R1135" t="s">
        <v>1249</v>
      </c>
      <c r="U1135">
        <v>10</v>
      </c>
      <c r="V1135">
        <v>9</v>
      </c>
      <c r="W1135" t="s">
        <v>350</v>
      </c>
      <c r="X1135" t="s">
        <v>349</v>
      </c>
      <c r="Y1135" t="s">
        <v>580</v>
      </c>
      <c r="Z1135">
        <v>2017</v>
      </c>
      <c r="AB1135">
        <v>13</v>
      </c>
      <c r="AC1135">
        <v>6.71</v>
      </c>
      <c r="AE1135" t="s">
        <v>346</v>
      </c>
      <c r="AF1135">
        <v>46.142674</v>
      </c>
      <c r="AG1135">
        <v>-115.598088</v>
      </c>
      <c r="AH1135">
        <v>15421662</v>
      </c>
    </row>
    <row r="1136" spans="2:35">
      <c r="B1136" t="s">
        <v>345</v>
      </c>
      <c r="C1136" t="s">
        <v>1248</v>
      </c>
      <c r="D1136" s="3">
        <v>42903.343055555553</v>
      </c>
      <c r="F1136">
        <v>2017</v>
      </c>
      <c r="G1136" t="s">
        <v>578</v>
      </c>
      <c r="H1136" t="s">
        <v>352</v>
      </c>
      <c r="J1136">
        <v>0</v>
      </c>
      <c r="L1136">
        <v>1</v>
      </c>
      <c r="M1136">
        <v>158</v>
      </c>
      <c r="N1136">
        <v>45</v>
      </c>
      <c r="O1136" t="s">
        <v>575</v>
      </c>
      <c r="Q1136" t="s">
        <v>1250</v>
      </c>
      <c r="R1136" t="s">
        <v>1249</v>
      </c>
      <c r="U1136">
        <v>10</v>
      </c>
      <c r="V1136">
        <v>9</v>
      </c>
      <c r="W1136" t="s">
        <v>350</v>
      </c>
      <c r="X1136" t="s">
        <v>349</v>
      </c>
      <c r="Y1136" t="s">
        <v>580</v>
      </c>
      <c r="Z1136">
        <v>2017</v>
      </c>
      <c r="AB1136">
        <v>13</v>
      </c>
      <c r="AC1136">
        <v>6.71</v>
      </c>
      <c r="AE1136" t="s">
        <v>346</v>
      </c>
      <c r="AF1136">
        <v>46.142674</v>
      </c>
      <c r="AG1136">
        <v>-115.598088</v>
      </c>
      <c r="AH1136">
        <v>15421663</v>
      </c>
    </row>
    <row r="1137" spans="2:34">
      <c r="B1137" t="s">
        <v>345</v>
      </c>
      <c r="C1137" t="s">
        <v>1251</v>
      </c>
      <c r="D1137" s="3">
        <v>42818.341666666667</v>
      </c>
      <c r="F1137">
        <v>2017</v>
      </c>
      <c r="G1137" t="s">
        <v>605</v>
      </c>
      <c r="H1137" t="s">
        <v>352</v>
      </c>
      <c r="J1137">
        <v>0</v>
      </c>
      <c r="L1137">
        <v>1</v>
      </c>
      <c r="M1137">
        <v>62</v>
      </c>
      <c r="N1137">
        <v>3</v>
      </c>
      <c r="O1137" t="s">
        <v>353</v>
      </c>
      <c r="U1137">
        <v>4</v>
      </c>
      <c r="V1137">
        <v>4</v>
      </c>
      <c r="W1137" t="s">
        <v>350</v>
      </c>
      <c r="X1137" t="s">
        <v>349</v>
      </c>
      <c r="Y1137" t="s">
        <v>580</v>
      </c>
      <c r="Z1137">
        <v>2017</v>
      </c>
      <c r="AB1137">
        <v>13</v>
      </c>
      <c r="AC1137">
        <v>6.84</v>
      </c>
      <c r="AE1137" t="s">
        <v>346</v>
      </c>
      <c r="AF1137">
        <v>46.142674</v>
      </c>
      <c r="AG1137">
        <v>-115.598088</v>
      </c>
      <c r="AH1137">
        <v>15423504</v>
      </c>
    </row>
    <row r="1138" spans="2:34">
      <c r="B1138" t="s">
        <v>345</v>
      </c>
      <c r="C1138" t="s">
        <v>1251</v>
      </c>
      <c r="D1138" s="3">
        <v>42818.341666666667</v>
      </c>
      <c r="F1138">
        <v>2017</v>
      </c>
      <c r="G1138" t="s">
        <v>574</v>
      </c>
      <c r="H1138" t="s">
        <v>352</v>
      </c>
      <c r="J1138">
        <v>0</v>
      </c>
      <c r="L1138">
        <v>1</v>
      </c>
      <c r="M1138">
        <v>85</v>
      </c>
      <c r="N1138">
        <v>7</v>
      </c>
      <c r="O1138" t="s">
        <v>575</v>
      </c>
      <c r="Q1138" t="s">
        <v>576</v>
      </c>
      <c r="U1138">
        <v>4</v>
      </c>
      <c r="V1138">
        <v>4</v>
      </c>
      <c r="W1138" t="s">
        <v>350</v>
      </c>
      <c r="X1138" t="s">
        <v>349</v>
      </c>
      <c r="Y1138" t="s">
        <v>580</v>
      </c>
      <c r="Z1138">
        <v>2017</v>
      </c>
      <c r="AB1138">
        <v>13</v>
      </c>
      <c r="AC1138">
        <v>6.84</v>
      </c>
      <c r="AE1138" t="s">
        <v>346</v>
      </c>
      <c r="AF1138">
        <v>46.142674</v>
      </c>
      <c r="AG1138">
        <v>-115.598088</v>
      </c>
      <c r="AH1138">
        <v>15423505</v>
      </c>
    </row>
    <row r="1139" spans="2:34">
      <c r="B1139" t="s">
        <v>345</v>
      </c>
      <c r="C1139" t="s">
        <v>1251</v>
      </c>
      <c r="D1139" s="3">
        <v>42818.341666666667</v>
      </c>
      <c r="F1139">
        <v>2017</v>
      </c>
      <c r="G1139" t="s">
        <v>574</v>
      </c>
      <c r="H1139" t="s">
        <v>352</v>
      </c>
      <c r="J1139">
        <v>0</v>
      </c>
      <c r="L1139">
        <v>1</v>
      </c>
      <c r="M1139">
        <v>85</v>
      </c>
      <c r="N1139">
        <v>6</v>
      </c>
      <c r="O1139" t="s">
        <v>575</v>
      </c>
      <c r="Q1139" t="s">
        <v>576</v>
      </c>
      <c r="U1139">
        <v>4</v>
      </c>
      <c r="V1139">
        <v>4</v>
      </c>
      <c r="W1139" t="s">
        <v>350</v>
      </c>
      <c r="X1139" t="s">
        <v>349</v>
      </c>
      <c r="Y1139" t="s">
        <v>580</v>
      </c>
      <c r="Z1139">
        <v>2017</v>
      </c>
      <c r="AB1139">
        <v>13</v>
      </c>
      <c r="AC1139">
        <v>6.84</v>
      </c>
      <c r="AE1139" t="s">
        <v>346</v>
      </c>
      <c r="AF1139">
        <v>46.142674</v>
      </c>
      <c r="AG1139">
        <v>-115.598088</v>
      </c>
      <c r="AH1139">
        <v>15423506</v>
      </c>
    </row>
    <row r="1140" spans="2:34">
      <c r="B1140" t="s">
        <v>345</v>
      </c>
      <c r="C1140" t="s">
        <v>1251</v>
      </c>
      <c r="D1140" s="3">
        <v>42818.341666666667</v>
      </c>
      <c r="F1140">
        <v>2017</v>
      </c>
      <c r="G1140" t="s">
        <v>578</v>
      </c>
      <c r="H1140" t="s">
        <v>352</v>
      </c>
      <c r="J1140">
        <v>0</v>
      </c>
      <c r="L1140">
        <v>1</v>
      </c>
      <c r="M1140">
        <v>150</v>
      </c>
      <c r="N1140">
        <v>29</v>
      </c>
      <c r="O1140" t="s">
        <v>575</v>
      </c>
      <c r="Q1140" t="s">
        <v>1252</v>
      </c>
      <c r="U1140">
        <v>4</v>
      </c>
      <c r="V1140">
        <v>4</v>
      </c>
      <c r="W1140" t="s">
        <v>350</v>
      </c>
      <c r="X1140" t="s">
        <v>349</v>
      </c>
      <c r="Y1140" t="s">
        <v>580</v>
      </c>
      <c r="Z1140">
        <v>2017</v>
      </c>
      <c r="AB1140">
        <v>13</v>
      </c>
      <c r="AC1140">
        <v>6.84</v>
      </c>
      <c r="AE1140" t="s">
        <v>346</v>
      </c>
      <c r="AF1140">
        <v>46.142674</v>
      </c>
      <c r="AG1140">
        <v>-115.598088</v>
      </c>
      <c r="AH1140">
        <v>15423507</v>
      </c>
    </row>
    <row r="1141" spans="2:34">
      <c r="B1141" t="s">
        <v>345</v>
      </c>
      <c r="C1141" t="s">
        <v>1251</v>
      </c>
      <c r="D1141" s="3">
        <v>42818.341666666667</v>
      </c>
      <c r="F1141">
        <v>2017</v>
      </c>
      <c r="G1141" t="s">
        <v>578</v>
      </c>
      <c r="H1141" t="s">
        <v>352</v>
      </c>
      <c r="J1141">
        <v>0</v>
      </c>
      <c r="L1141">
        <v>1</v>
      </c>
      <c r="M1141">
        <v>130</v>
      </c>
      <c r="N1141">
        <v>22</v>
      </c>
      <c r="O1141" t="s">
        <v>575</v>
      </c>
      <c r="Q1141" t="s">
        <v>1253</v>
      </c>
      <c r="U1141">
        <v>4</v>
      </c>
      <c r="V1141">
        <v>4</v>
      </c>
      <c r="W1141" t="s">
        <v>350</v>
      </c>
      <c r="X1141" t="s">
        <v>349</v>
      </c>
      <c r="Y1141" t="s">
        <v>580</v>
      </c>
      <c r="Z1141">
        <v>2017</v>
      </c>
      <c r="AB1141">
        <v>13</v>
      </c>
      <c r="AC1141">
        <v>6.84</v>
      </c>
      <c r="AE1141" t="s">
        <v>346</v>
      </c>
      <c r="AF1141">
        <v>46.142674</v>
      </c>
      <c r="AG1141">
        <v>-115.598088</v>
      </c>
      <c r="AH1141">
        <v>15423508</v>
      </c>
    </row>
    <row r="1142" spans="2:34">
      <c r="B1142" t="s">
        <v>345</v>
      </c>
      <c r="C1142" t="s">
        <v>1251</v>
      </c>
      <c r="D1142" s="3">
        <v>42818.341666666667</v>
      </c>
      <c r="F1142">
        <v>2017</v>
      </c>
      <c r="G1142" t="s">
        <v>605</v>
      </c>
      <c r="H1142" t="s">
        <v>352</v>
      </c>
      <c r="J1142">
        <v>0</v>
      </c>
      <c r="L1142">
        <v>1</v>
      </c>
      <c r="M1142">
        <v>71</v>
      </c>
      <c r="N1142">
        <v>5</v>
      </c>
      <c r="O1142" t="s">
        <v>353</v>
      </c>
      <c r="U1142">
        <v>4</v>
      </c>
      <c r="V1142">
        <v>4</v>
      </c>
      <c r="W1142" t="s">
        <v>350</v>
      </c>
      <c r="X1142" t="s">
        <v>349</v>
      </c>
      <c r="Y1142" t="s">
        <v>580</v>
      </c>
      <c r="Z1142">
        <v>2017</v>
      </c>
      <c r="AB1142">
        <v>13</v>
      </c>
      <c r="AC1142">
        <v>6.84</v>
      </c>
      <c r="AE1142" t="s">
        <v>346</v>
      </c>
      <c r="AF1142">
        <v>46.142674</v>
      </c>
      <c r="AG1142">
        <v>-115.598088</v>
      </c>
      <c r="AH1142">
        <v>15423509</v>
      </c>
    </row>
    <row r="1143" spans="2:34">
      <c r="B1143" t="s">
        <v>345</v>
      </c>
      <c r="C1143" t="s">
        <v>1254</v>
      </c>
      <c r="D1143" s="3">
        <v>42821.31527777778</v>
      </c>
      <c r="F1143">
        <v>2017</v>
      </c>
      <c r="G1143" t="s">
        <v>578</v>
      </c>
      <c r="H1143" t="s">
        <v>352</v>
      </c>
      <c r="J1143">
        <v>0</v>
      </c>
      <c r="L1143">
        <v>1</v>
      </c>
      <c r="M1143">
        <v>158</v>
      </c>
      <c r="N1143">
        <v>33</v>
      </c>
      <c r="O1143" t="s">
        <v>575</v>
      </c>
      <c r="Q1143" t="s">
        <v>1255</v>
      </c>
      <c r="U1143">
        <v>4.8</v>
      </c>
      <c r="V1143">
        <v>4.9000000000000004</v>
      </c>
      <c r="W1143" t="s">
        <v>350</v>
      </c>
      <c r="X1143" t="s">
        <v>349</v>
      </c>
      <c r="Y1143" t="s">
        <v>580</v>
      </c>
      <c r="Z1143">
        <v>2017</v>
      </c>
      <c r="AB1143">
        <v>13</v>
      </c>
      <c r="AC1143">
        <v>6.22</v>
      </c>
      <c r="AE1143" t="s">
        <v>346</v>
      </c>
      <c r="AF1143">
        <v>46.142674</v>
      </c>
      <c r="AG1143">
        <v>-115.598088</v>
      </c>
      <c r="AH1143">
        <v>15578803</v>
      </c>
    </row>
    <row r="1144" spans="2:34">
      <c r="B1144" t="s">
        <v>345</v>
      </c>
      <c r="C1144" t="s">
        <v>1254</v>
      </c>
      <c r="D1144" s="3">
        <v>42821.31527777778</v>
      </c>
      <c r="F1144">
        <v>2017</v>
      </c>
      <c r="G1144" t="s">
        <v>578</v>
      </c>
      <c r="H1144" t="s">
        <v>352</v>
      </c>
      <c r="J1144">
        <v>0</v>
      </c>
      <c r="L1144">
        <v>1</v>
      </c>
      <c r="M1144">
        <v>171</v>
      </c>
      <c r="N1144">
        <v>47</v>
      </c>
      <c r="O1144" t="s">
        <v>575</v>
      </c>
      <c r="Q1144" t="s">
        <v>1256</v>
      </c>
      <c r="U1144">
        <v>4.8</v>
      </c>
      <c r="V1144">
        <v>4.9000000000000004</v>
      </c>
      <c r="W1144" t="s">
        <v>350</v>
      </c>
      <c r="X1144" t="s">
        <v>349</v>
      </c>
      <c r="Y1144" t="s">
        <v>580</v>
      </c>
      <c r="Z1144">
        <v>2017</v>
      </c>
      <c r="AB1144">
        <v>13</v>
      </c>
      <c r="AC1144">
        <v>6.22</v>
      </c>
      <c r="AE1144" t="s">
        <v>346</v>
      </c>
      <c r="AF1144">
        <v>46.142674</v>
      </c>
      <c r="AG1144">
        <v>-115.598088</v>
      </c>
      <c r="AH1144">
        <v>15578804</v>
      </c>
    </row>
    <row r="1145" spans="2:34">
      <c r="B1145" t="s">
        <v>345</v>
      </c>
      <c r="C1145" t="s">
        <v>1254</v>
      </c>
      <c r="D1145" s="3">
        <v>42821.31527777778</v>
      </c>
      <c r="F1145">
        <v>2017</v>
      </c>
      <c r="G1145" t="s">
        <v>351</v>
      </c>
      <c r="H1145" t="s">
        <v>352</v>
      </c>
      <c r="J1145">
        <v>0</v>
      </c>
      <c r="L1145">
        <v>1</v>
      </c>
      <c r="M1145">
        <v>104</v>
      </c>
      <c r="N1145">
        <v>2</v>
      </c>
      <c r="O1145" t="s">
        <v>353</v>
      </c>
      <c r="U1145">
        <v>4.8</v>
      </c>
      <c r="V1145">
        <v>4.9000000000000004</v>
      </c>
      <c r="W1145" t="s">
        <v>350</v>
      </c>
      <c r="X1145" t="s">
        <v>349</v>
      </c>
      <c r="Y1145" t="s">
        <v>580</v>
      </c>
      <c r="Z1145">
        <v>2017</v>
      </c>
      <c r="AB1145">
        <v>13</v>
      </c>
      <c r="AC1145">
        <v>6.22</v>
      </c>
      <c r="AE1145" t="s">
        <v>346</v>
      </c>
      <c r="AF1145">
        <v>46.142674</v>
      </c>
      <c r="AG1145">
        <v>-115.598088</v>
      </c>
      <c r="AH1145">
        <v>15578805</v>
      </c>
    </row>
    <row r="1146" spans="2:34">
      <c r="B1146" t="s">
        <v>345</v>
      </c>
      <c r="C1146" t="s">
        <v>1254</v>
      </c>
      <c r="D1146" s="3">
        <v>42821.31527777778</v>
      </c>
      <c r="F1146">
        <v>2017</v>
      </c>
      <c r="G1146" t="s">
        <v>578</v>
      </c>
      <c r="H1146" t="s">
        <v>352</v>
      </c>
      <c r="J1146">
        <v>0</v>
      </c>
      <c r="L1146">
        <v>1</v>
      </c>
      <c r="M1146">
        <v>163</v>
      </c>
      <c r="N1146">
        <v>41</v>
      </c>
      <c r="O1146" t="s">
        <v>575</v>
      </c>
      <c r="Q1146" t="s">
        <v>1257</v>
      </c>
      <c r="U1146">
        <v>4.8</v>
      </c>
      <c r="V1146">
        <v>4.9000000000000004</v>
      </c>
      <c r="W1146" t="s">
        <v>350</v>
      </c>
      <c r="X1146" t="s">
        <v>349</v>
      </c>
      <c r="Y1146" t="s">
        <v>580</v>
      </c>
      <c r="Z1146">
        <v>2017</v>
      </c>
      <c r="AB1146">
        <v>13</v>
      </c>
      <c r="AC1146">
        <v>6.22</v>
      </c>
      <c r="AE1146" t="s">
        <v>346</v>
      </c>
      <c r="AF1146">
        <v>46.142674</v>
      </c>
      <c r="AG1146">
        <v>-115.598088</v>
      </c>
      <c r="AH1146">
        <v>15578806</v>
      </c>
    </row>
    <row r="1147" spans="2:34">
      <c r="B1147" t="s">
        <v>345</v>
      </c>
      <c r="C1147" t="s">
        <v>1258</v>
      </c>
      <c r="D1147" s="3">
        <v>42893.318055555559</v>
      </c>
      <c r="F1147">
        <v>2017</v>
      </c>
      <c r="G1147" t="s">
        <v>578</v>
      </c>
      <c r="H1147" t="s">
        <v>352</v>
      </c>
      <c r="J1147">
        <v>0</v>
      </c>
      <c r="L1147">
        <v>1</v>
      </c>
      <c r="M1147">
        <v>88</v>
      </c>
      <c r="N1147">
        <v>9</v>
      </c>
      <c r="O1147" t="s">
        <v>575</v>
      </c>
      <c r="Q1147" t="s">
        <v>1259</v>
      </c>
      <c r="R1147" t="s">
        <v>1260</v>
      </c>
      <c r="U1147">
        <v>9</v>
      </c>
      <c r="V1147">
        <v>9</v>
      </c>
      <c r="W1147" t="s">
        <v>350</v>
      </c>
      <c r="X1147" t="s">
        <v>349</v>
      </c>
      <c r="Y1147" t="s">
        <v>580</v>
      </c>
      <c r="Z1147">
        <v>2017</v>
      </c>
      <c r="AB1147">
        <v>12</v>
      </c>
      <c r="AC1147">
        <v>7.26</v>
      </c>
      <c r="AE1147" t="s">
        <v>346</v>
      </c>
      <c r="AF1147">
        <v>46.142674</v>
      </c>
      <c r="AG1147">
        <v>-115.598088</v>
      </c>
      <c r="AH1147">
        <v>15579103</v>
      </c>
    </row>
    <row r="1148" spans="2:34">
      <c r="B1148" t="s">
        <v>345</v>
      </c>
      <c r="C1148" t="s">
        <v>1258</v>
      </c>
      <c r="D1148" s="3">
        <v>42893.318055555559</v>
      </c>
      <c r="F1148">
        <v>2017</v>
      </c>
      <c r="G1148" t="s">
        <v>578</v>
      </c>
      <c r="H1148" t="s">
        <v>352</v>
      </c>
      <c r="J1148">
        <v>0</v>
      </c>
      <c r="L1148">
        <v>1</v>
      </c>
      <c r="M1148">
        <v>95</v>
      </c>
      <c r="N1148">
        <v>10</v>
      </c>
      <c r="O1148" t="s">
        <v>575</v>
      </c>
      <c r="Q1148" t="s">
        <v>1261</v>
      </c>
      <c r="R1148" t="s">
        <v>1260</v>
      </c>
      <c r="U1148">
        <v>9</v>
      </c>
      <c r="V1148">
        <v>9</v>
      </c>
      <c r="W1148" t="s">
        <v>350</v>
      </c>
      <c r="X1148" t="s">
        <v>349</v>
      </c>
      <c r="Y1148" t="s">
        <v>580</v>
      </c>
      <c r="Z1148">
        <v>2017</v>
      </c>
      <c r="AB1148">
        <v>12</v>
      </c>
      <c r="AC1148">
        <v>7.26</v>
      </c>
      <c r="AE1148" t="s">
        <v>346</v>
      </c>
      <c r="AF1148">
        <v>46.142674</v>
      </c>
      <c r="AG1148">
        <v>-115.598088</v>
      </c>
      <c r="AH1148">
        <v>15579104</v>
      </c>
    </row>
    <row r="1149" spans="2:34">
      <c r="B1149" t="s">
        <v>345</v>
      </c>
      <c r="C1149" t="s">
        <v>1262</v>
      </c>
      <c r="D1149" s="3">
        <v>43026.630555555559</v>
      </c>
      <c r="F1149">
        <v>2017</v>
      </c>
      <c r="G1149" t="s">
        <v>605</v>
      </c>
      <c r="H1149" t="s">
        <v>352</v>
      </c>
      <c r="J1149">
        <v>0</v>
      </c>
      <c r="L1149">
        <v>3</v>
      </c>
      <c r="M1149">
        <v>0</v>
      </c>
      <c r="N1149">
        <v>0</v>
      </c>
      <c r="O1149" t="s">
        <v>606</v>
      </c>
      <c r="R1149" t="s">
        <v>603</v>
      </c>
      <c r="U1149">
        <v>8.5</v>
      </c>
      <c r="V1149">
        <v>8.5</v>
      </c>
      <c r="W1149" t="s">
        <v>350</v>
      </c>
      <c r="X1149" t="s">
        <v>349</v>
      </c>
      <c r="Y1149" t="s">
        <v>348</v>
      </c>
      <c r="Z1149">
        <v>2017</v>
      </c>
      <c r="AB1149">
        <v>4</v>
      </c>
      <c r="AC1149">
        <v>1.99</v>
      </c>
      <c r="AE1149" t="s">
        <v>346</v>
      </c>
      <c r="AF1149">
        <v>46.142674</v>
      </c>
      <c r="AG1149">
        <v>-115.598088</v>
      </c>
      <c r="AH1149">
        <v>15683813</v>
      </c>
    </row>
    <row r="1150" spans="2:34">
      <c r="B1150" t="s">
        <v>345</v>
      </c>
      <c r="C1150" t="s">
        <v>1262</v>
      </c>
      <c r="D1150" s="3">
        <v>43026.630555555559</v>
      </c>
      <c r="F1150">
        <v>2017</v>
      </c>
      <c r="G1150" t="s">
        <v>574</v>
      </c>
      <c r="H1150" t="s">
        <v>352</v>
      </c>
      <c r="J1150">
        <v>0</v>
      </c>
      <c r="L1150">
        <v>1</v>
      </c>
      <c r="M1150">
        <v>71</v>
      </c>
      <c r="N1150">
        <v>4</v>
      </c>
      <c r="O1150" t="s">
        <v>575</v>
      </c>
      <c r="Q1150" t="s">
        <v>576</v>
      </c>
      <c r="R1150" t="s">
        <v>603</v>
      </c>
      <c r="U1150">
        <v>8.5</v>
      </c>
      <c r="V1150">
        <v>8.5</v>
      </c>
      <c r="W1150" t="s">
        <v>350</v>
      </c>
      <c r="X1150" t="s">
        <v>349</v>
      </c>
      <c r="Y1150" t="s">
        <v>348</v>
      </c>
      <c r="Z1150">
        <v>2017</v>
      </c>
      <c r="AB1150">
        <v>4</v>
      </c>
      <c r="AC1150">
        <v>1.99</v>
      </c>
      <c r="AE1150" t="s">
        <v>346</v>
      </c>
      <c r="AF1150">
        <v>46.142674</v>
      </c>
      <c r="AG1150">
        <v>-115.598088</v>
      </c>
      <c r="AH1150">
        <v>15683814</v>
      </c>
    </row>
    <row r="1151" spans="2:34">
      <c r="B1151" t="s">
        <v>345</v>
      </c>
      <c r="C1151" t="s">
        <v>1262</v>
      </c>
      <c r="D1151" s="3">
        <v>43026.630555555559</v>
      </c>
      <c r="F1151">
        <v>2017</v>
      </c>
      <c r="G1151" t="s">
        <v>574</v>
      </c>
      <c r="H1151" t="s">
        <v>352</v>
      </c>
      <c r="J1151">
        <v>0</v>
      </c>
      <c r="L1151">
        <v>1</v>
      </c>
      <c r="M1151">
        <v>74</v>
      </c>
      <c r="N1151">
        <v>4</v>
      </c>
      <c r="O1151" t="s">
        <v>575</v>
      </c>
      <c r="Q1151" t="s">
        <v>576</v>
      </c>
      <c r="R1151" t="s">
        <v>603</v>
      </c>
      <c r="U1151">
        <v>8.5</v>
      </c>
      <c r="V1151">
        <v>8.5</v>
      </c>
      <c r="W1151" t="s">
        <v>350</v>
      </c>
      <c r="X1151" t="s">
        <v>349</v>
      </c>
      <c r="Y1151" t="s">
        <v>348</v>
      </c>
      <c r="Z1151">
        <v>2017</v>
      </c>
      <c r="AB1151">
        <v>4</v>
      </c>
      <c r="AC1151">
        <v>1.99</v>
      </c>
      <c r="AE1151" t="s">
        <v>346</v>
      </c>
      <c r="AF1151">
        <v>46.142674</v>
      </c>
      <c r="AG1151">
        <v>-115.598088</v>
      </c>
      <c r="AH1151">
        <v>15683815</v>
      </c>
    </row>
    <row r="1152" spans="2:34">
      <c r="B1152" t="s">
        <v>345</v>
      </c>
      <c r="C1152" t="s">
        <v>1245</v>
      </c>
      <c r="D1152" s="3">
        <v>42878.333333333336</v>
      </c>
      <c r="F1152">
        <v>2017</v>
      </c>
      <c r="G1152" t="s">
        <v>605</v>
      </c>
      <c r="H1152" t="s">
        <v>352</v>
      </c>
      <c r="J1152">
        <v>0</v>
      </c>
      <c r="L1152">
        <v>1</v>
      </c>
      <c r="M1152">
        <v>70</v>
      </c>
      <c r="N1152">
        <v>5</v>
      </c>
      <c r="O1152" t="s">
        <v>353</v>
      </c>
      <c r="R1152" t="s">
        <v>1247</v>
      </c>
      <c r="U1152">
        <v>8.5</v>
      </c>
      <c r="V1152">
        <v>8</v>
      </c>
      <c r="W1152" t="s">
        <v>350</v>
      </c>
      <c r="X1152" t="s">
        <v>349</v>
      </c>
      <c r="Y1152" t="s">
        <v>580</v>
      </c>
      <c r="Z1152">
        <v>2017</v>
      </c>
      <c r="AB1152">
        <v>15</v>
      </c>
      <c r="AC1152">
        <v>7.59</v>
      </c>
      <c r="AE1152" t="s">
        <v>346</v>
      </c>
      <c r="AF1152">
        <v>46.142674</v>
      </c>
      <c r="AG1152">
        <v>-115.598088</v>
      </c>
      <c r="AH1152">
        <v>15642195</v>
      </c>
    </row>
    <row r="1153" spans="2:34">
      <c r="B1153" t="s">
        <v>345</v>
      </c>
      <c r="C1153" t="s">
        <v>1245</v>
      </c>
      <c r="D1153" s="3">
        <v>42878.333333333336</v>
      </c>
      <c r="F1153">
        <v>2017</v>
      </c>
      <c r="G1153" t="s">
        <v>578</v>
      </c>
      <c r="H1153" t="s">
        <v>352</v>
      </c>
      <c r="J1153">
        <v>0</v>
      </c>
      <c r="L1153">
        <v>1</v>
      </c>
      <c r="M1153">
        <v>156</v>
      </c>
      <c r="N1153">
        <v>40</v>
      </c>
      <c r="O1153" t="s">
        <v>634</v>
      </c>
      <c r="P1153" t="s">
        <v>635</v>
      </c>
      <c r="Q1153" t="s">
        <v>635</v>
      </c>
      <c r="R1153" t="s">
        <v>1247</v>
      </c>
      <c r="U1153">
        <v>8.5</v>
      </c>
      <c r="V1153">
        <v>8</v>
      </c>
      <c r="W1153" t="s">
        <v>350</v>
      </c>
      <c r="X1153" t="s">
        <v>349</v>
      </c>
      <c r="Y1153" t="s">
        <v>580</v>
      </c>
      <c r="Z1153">
        <v>2017</v>
      </c>
      <c r="AB1153">
        <v>15</v>
      </c>
      <c r="AC1153">
        <v>7.59</v>
      </c>
      <c r="AE1153" t="s">
        <v>346</v>
      </c>
      <c r="AF1153">
        <v>46.142674</v>
      </c>
      <c r="AG1153">
        <v>-115.598088</v>
      </c>
      <c r="AH1153">
        <v>15642196</v>
      </c>
    </row>
    <row r="1154" spans="2:34">
      <c r="B1154" t="s">
        <v>345</v>
      </c>
      <c r="C1154" t="s">
        <v>1245</v>
      </c>
      <c r="D1154" s="3">
        <v>42878.333333333336</v>
      </c>
      <c r="F1154">
        <v>2017</v>
      </c>
      <c r="G1154" t="s">
        <v>578</v>
      </c>
      <c r="H1154" t="s">
        <v>352</v>
      </c>
      <c r="J1154">
        <v>0</v>
      </c>
      <c r="L1154">
        <v>1</v>
      </c>
      <c r="M1154">
        <v>173</v>
      </c>
      <c r="N1154">
        <v>49</v>
      </c>
      <c r="O1154" t="s">
        <v>575</v>
      </c>
      <c r="Q1154" t="s">
        <v>1263</v>
      </c>
      <c r="R1154" t="s">
        <v>1247</v>
      </c>
      <c r="U1154">
        <v>8.5</v>
      </c>
      <c r="V1154">
        <v>8</v>
      </c>
      <c r="W1154" t="s">
        <v>350</v>
      </c>
      <c r="X1154" t="s">
        <v>349</v>
      </c>
      <c r="Y1154" t="s">
        <v>580</v>
      </c>
      <c r="Z1154">
        <v>2017</v>
      </c>
      <c r="AB1154">
        <v>15</v>
      </c>
      <c r="AC1154">
        <v>7.59</v>
      </c>
      <c r="AE1154" t="s">
        <v>346</v>
      </c>
      <c r="AF1154">
        <v>46.142674</v>
      </c>
      <c r="AG1154">
        <v>-115.598088</v>
      </c>
      <c r="AH1154">
        <v>15642197</v>
      </c>
    </row>
    <row r="1155" spans="2:34">
      <c r="B1155" t="s">
        <v>345</v>
      </c>
      <c r="C1155" t="s">
        <v>1245</v>
      </c>
      <c r="D1155" s="3">
        <v>42878.333333333336</v>
      </c>
      <c r="F1155">
        <v>2017</v>
      </c>
      <c r="G1155" t="s">
        <v>605</v>
      </c>
      <c r="H1155" t="s">
        <v>352</v>
      </c>
      <c r="J1155">
        <v>0</v>
      </c>
      <c r="L1155">
        <v>1</v>
      </c>
      <c r="M1155">
        <v>31</v>
      </c>
      <c r="N1155">
        <v>0</v>
      </c>
      <c r="O1155" t="s">
        <v>353</v>
      </c>
      <c r="R1155" t="s">
        <v>1247</v>
      </c>
      <c r="U1155">
        <v>8.5</v>
      </c>
      <c r="V1155">
        <v>8</v>
      </c>
      <c r="W1155" t="s">
        <v>350</v>
      </c>
      <c r="X1155" t="s">
        <v>349</v>
      </c>
      <c r="Y1155" t="s">
        <v>580</v>
      </c>
      <c r="Z1155">
        <v>2017</v>
      </c>
      <c r="AB1155">
        <v>15</v>
      </c>
      <c r="AC1155">
        <v>7.59</v>
      </c>
      <c r="AE1155" t="s">
        <v>346</v>
      </c>
      <c r="AF1155">
        <v>46.142674</v>
      </c>
      <c r="AG1155">
        <v>-115.598088</v>
      </c>
      <c r="AH1155">
        <v>15642198</v>
      </c>
    </row>
    <row r="1156" spans="2:34">
      <c r="B1156" t="s">
        <v>345</v>
      </c>
      <c r="C1156" t="s">
        <v>1245</v>
      </c>
      <c r="D1156" s="3">
        <v>42878.333333333336</v>
      </c>
      <c r="F1156">
        <v>2017</v>
      </c>
      <c r="G1156" t="s">
        <v>578</v>
      </c>
      <c r="H1156" t="s">
        <v>352</v>
      </c>
      <c r="J1156">
        <v>0</v>
      </c>
      <c r="L1156">
        <v>1</v>
      </c>
      <c r="M1156">
        <v>155</v>
      </c>
      <c r="N1156">
        <v>40</v>
      </c>
      <c r="O1156" t="s">
        <v>634</v>
      </c>
      <c r="P1156" t="s">
        <v>635</v>
      </c>
      <c r="Q1156" t="s">
        <v>1264</v>
      </c>
      <c r="R1156" t="s">
        <v>1247</v>
      </c>
      <c r="U1156">
        <v>8.5</v>
      </c>
      <c r="V1156">
        <v>8</v>
      </c>
      <c r="W1156" t="s">
        <v>350</v>
      </c>
      <c r="X1156" t="s">
        <v>349</v>
      </c>
      <c r="Y1156" t="s">
        <v>580</v>
      </c>
      <c r="Z1156">
        <v>2017</v>
      </c>
      <c r="AB1156">
        <v>15</v>
      </c>
      <c r="AC1156">
        <v>7.59</v>
      </c>
      <c r="AE1156" t="s">
        <v>346</v>
      </c>
      <c r="AF1156">
        <v>46.142674</v>
      </c>
      <c r="AG1156">
        <v>-115.598088</v>
      </c>
      <c r="AH1156">
        <v>15642199</v>
      </c>
    </row>
    <row r="1157" spans="2:34">
      <c r="B1157" t="s">
        <v>345</v>
      </c>
      <c r="C1157" t="s">
        <v>1245</v>
      </c>
      <c r="D1157" s="3">
        <v>42878.333333333336</v>
      </c>
      <c r="F1157">
        <v>2017</v>
      </c>
      <c r="G1157" t="s">
        <v>574</v>
      </c>
      <c r="H1157" t="s">
        <v>352</v>
      </c>
      <c r="J1157">
        <v>0</v>
      </c>
      <c r="L1157">
        <v>1</v>
      </c>
      <c r="M1157">
        <v>82</v>
      </c>
      <c r="N1157">
        <v>9</v>
      </c>
      <c r="O1157" t="s">
        <v>575</v>
      </c>
      <c r="Q1157" t="s">
        <v>576</v>
      </c>
      <c r="R1157" t="s">
        <v>1247</v>
      </c>
      <c r="U1157">
        <v>8.5</v>
      </c>
      <c r="V1157">
        <v>8</v>
      </c>
      <c r="W1157" t="s">
        <v>350</v>
      </c>
      <c r="X1157" t="s">
        <v>349</v>
      </c>
      <c r="Y1157" t="s">
        <v>580</v>
      </c>
      <c r="Z1157">
        <v>2017</v>
      </c>
      <c r="AB1157">
        <v>15</v>
      </c>
      <c r="AC1157">
        <v>7.59</v>
      </c>
      <c r="AE1157" t="s">
        <v>346</v>
      </c>
      <c r="AF1157">
        <v>46.142674</v>
      </c>
      <c r="AG1157">
        <v>-115.598088</v>
      </c>
      <c r="AH1157">
        <v>15642200</v>
      </c>
    </row>
    <row r="1158" spans="2:34">
      <c r="B1158" t="s">
        <v>345</v>
      </c>
      <c r="C1158" t="s">
        <v>1245</v>
      </c>
      <c r="D1158" s="3">
        <v>42878.333333333336</v>
      </c>
      <c r="F1158">
        <v>2017</v>
      </c>
      <c r="G1158" t="s">
        <v>578</v>
      </c>
      <c r="H1158" t="s">
        <v>352</v>
      </c>
      <c r="J1158">
        <v>0</v>
      </c>
      <c r="L1158">
        <v>1</v>
      </c>
      <c r="M1158">
        <v>160</v>
      </c>
      <c r="N1158">
        <v>40</v>
      </c>
      <c r="O1158" t="s">
        <v>575</v>
      </c>
      <c r="Q1158" t="s">
        <v>1265</v>
      </c>
      <c r="R1158" t="s">
        <v>1247</v>
      </c>
      <c r="U1158">
        <v>8.5</v>
      </c>
      <c r="V1158">
        <v>8</v>
      </c>
      <c r="W1158" t="s">
        <v>350</v>
      </c>
      <c r="X1158" t="s">
        <v>349</v>
      </c>
      <c r="Y1158" t="s">
        <v>580</v>
      </c>
      <c r="Z1158">
        <v>2017</v>
      </c>
      <c r="AB1158">
        <v>15</v>
      </c>
      <c r="AC1158">
        <v>7.59</v>
      </c>
      <c r="AE1158" t="s">
        <v>346</v>
      </c>
      <c r="AF1158">
        <v>46.142674</v>
      </c>
      <c r="AG1158">
        <v>-115.598088</v>
      </c>
      <c r="AH1158">
        <v>15642201</v>
      </c>
    </row>
    <row r="1159" spans="2:34">
      <c r="B1159" t="s">
        <v>345</v>
      </c>
      <c r="C1159" t="s">
        <v>1245</v>
      </c>
      <c r="D1159" s="3">
        <v>42878.333333333336</v>
      </c>
      <c r="F1159">
        <v>2017</v>
      </c>
      <c r="G1159" t="s">
        <v>578</v>
      </c>
      <c r="H1159" t="s">
        <v>352</v>
      </c>
      <c r="J1159">
        <v>0</v>
      </c>
      <c r="L1159">
        <v>1</v>
      </c>
      <c r="M1159">
        <v>161</v>
      </c>
      <c r="N1159">
        <v>40</v>
      </c>
      <c r="O1159" t="s">
        <v>575</v>
      </c>
      <c r="Q1159" t="s">
        <v>1266</v>
      </c>
      <c r="R1159" t="s">
        <v>1247</v>
      </c>
      <c r="U1159">
        <v>8.5</v>
      </c>
      <c r="V1159">
        <v>8</v>
      </c>
      <c r="W1159" t="s">
        <v>350</v>
      </c>
      <c r="X1159" t="s">
        <v>349</v>
      </c>
      <c r="Y1159" t="s">
        <v>580</v>
      </c>
      <c r="Z1159">
        <v>2017</v>
      </c>
      <c r="AB1159">
        <v>15</v>
      </c>
      <c r="AC1159">
        <v>7.59</v>
      </c>
      <c r="AE1159" t="s">
        <v>346</v>
      </c>
      <c r="AF1159">
        <v>46.142674</v>
      </c>
      <c r="AG1159">
        <v>-115.598088</v>
      </c>
      <c r="AH1159">
        <v>15642202</v>
      </c>
    </row>
    <row r="1160" spans="2:34">
      <c r="B1160" t="s">
        <v>345</v>
      </c>
      <c r="C1160" t="s">
        <v>1245</v>
      </c>
      <c r="D1160" s="3">
        <v>42878.333333333336</v>
      </c>
      <c r="F1160">
        <v>2017</v>
      </c>
      <c r="G1160" t="s">
        <v>578</v>
      </c>
      <c r="H1160" t="s">
        <v>352</v>
      </c>
      <c r="J1160">
        <v>0</v>
      </c>
      <c r="L1160">
        <v>1</v>
      </c>
      <c r="M1160">
        <v>169</v>
      </c>
      <c r="N1160">
        <v>44</v>
      </c>
      <c r="O1160" t="s">
        <v>575</v>
      </c>
      <c r="Q1160" t="s">
        <v>1267</v>
      </c>
      <c r="R1160" t="s">
        <v>1247</v>
      </c>
      <c r="U1160">
        <v>8.5</v>
      </c>
      <c r="V1160">
        <v>8</v>
      </c>
      <c r="W1160" t="s">
        <v>350</v>
      </c>
      <c r="X1160" t="s">
        <v>349</v>
      </c>
      <c r="Y1160" t="s">
        <v>580</v>
      </c>
      <c r="Z1160">
        <v>2017</v>
      </c>
      <c r="AB1160">
        <v>15</v>
      </c>
      <c r="AC1160">
        <v>7.59</v>
      </c>
      <c r="AE1160" t="s">
        <v>346</v>
      </c>
      <c r="AF1160">
        <v>46.142674</v>
      </c>
      <c r="AG1160">
        <v>-115.598088</v>
      </c>
      <c r="AH1160">
        <v>15642203</v>
      </c>
    </row>
    <row r="1161" spans="2:34">
      <c r="B1161" t="s">
        <v>345</v>
      </c>
      <c r="C1161" t="s">
        <v>1268</v>
      </c>
      <c r="D1161" s="3">
        <v>43023.46875</v>
      </c>
      <c r="F1161">
        <v>2017</v>
      </c>
      <c r="G1161" t="s">
        <v>605</v>
      </c>
      <c r="H1161" t="s">
        <v>352</v>
      </c>
      <c r="J1161">
        <v>0</v>
      </c>
      <c r="L1161">
        <v>10</v>
      </c>
      <c r="M1161">
        <v>0</v>
      </c>
      <c r="N1161">
        <v>0</v>
      </c>
      <c r="O1161" t="s">
        <v>643</v>
      </c>
      <c r="R1161" t="s">
        <v>647</v>
      </c>
      <c r="U1161">
        <v>8</v>
      </c>
      <c r="V1161">
        <v>8</v>
      </c>
      <c r="W1161" t="s">
        <v>350</v>
      </c>
      <c r="X1161" t="s">
        <v>349</v>
      </c>
      <c r="Y1161" t="s">
        <v>710</v>
      </c>
      <c r="Z1161">
        <v>2017</v>
      </c>
      <c r="AB1161">
        <v>6</v>
      </c>
      <c r="AC1161">
        <v>2</v>
      </c>
      <c r="AE1161" t="s">
        <v>346</v>
      </c>
      <c r="AF1161">
        <v>46.142674</v>
      </c>
      <c r="AG1161">
        <v>-115.598088</v>
      </c>
      <c r="AH1161">
        <v>15645442</v>
      </c>
    </row>
    <row r="1162" spans="2:34">
      <c r="B1162" t="s">
        <v>345</v>
      </c>
      <c r="C1162" t="s">
        <v>1269</v>
      </c>
      <c r="D1162" s="3">
        <v>42851.30972222222</v>
      </c>
      <c r="F1162">
        <v>2017</v>
      </c>
      <c r="G1162" t="s">
        <v>578</v>
      </c>
      <c r="H1162" t="s">
        <v>352</v>
      </c>
      <c r="J1162">
        <v>0</v>
      </c>
      <c r="L1162">
        <v>1</v>
      </c>
      <c r="M1162">
        <v>154</v>
      </c>
      <c r="N1162">
        <v>31</v>
      </c>
      <c r="O1162" t="s">
        <v>634</v>
      </c>
      <c r="P1162" t="s">
        <v>635</v>
      </c>
      <c r="Q1162" t="s">
        <v>635</v>
      </c>
      <c r="R1162" t="s">
        <v>1270</v>
      </c>
      <c r="U1162">
        <v>6</v>
      </c>
      <c r="V1162">
        <v>6</v>
      </c>
      <c r="W1162" t="s">
        <v>350</v>
      </c>
      <c r="X1162" t="s">
        <v>349</v>
      </c>
      <c r="Y1162" t="s">
        <v>580</v>
      </c>
      <c r="Z1162">
        <v>2017</v>
      </c>
      <c r="AB1162">
        <v>12</v>
      </c>
      <c r="AC1162">
        <v>5.93</v>
      </c>
      <c r="AE1162" t="s">
        <v>346</v>
      </c>
      <c r="AF1162">
        <v>46.142674</v>
      </c>
      <c r="AG1162">
        <v>-115.598088</v>
      </c>
      <c r="AH1162">
        <v>15694845</v>
      </c>
    </row>
    <row r="1163" spans="2:34">
      <c r="B1163" t="s">
        <v>345</v>
      </c>
      <c r="C1163" t="s">
        <v>1269</v>
      </c>
      <c r="D1163" s="3">
        <v>42851.30972222222</v>
      </c>
      <c r="F1163">
        <v>2017</v>
      </c>
      <c r="G1163" t="s">
        <v>578</v>
      </c>
      <c r="H1163" t="s">
        <v>352</v>
      </c>
      <c r="J1163">
        <v>0</v>
      </c>
      <c r="L1163">
        <v>1</v>
      </c>
      <c r="M1163">
        <v>160</v>
      </c>
      <c r="N1163">
        <v>36</v>
      </c>
      <c r="O1163" t="s">
        <v>575</v>
      </c>
      <c r="Q1163" t="s">
        <v>1271</v>
      </c>
      <c r="R1163" t="s">
        <v>1270</v>
      </c>
      <c r="U1163">
        <v>6</v>
      </c>
      <c r="V1163">
        <v>6</v>
      </c>
      <c r="W1163" t="s">
        <v>350</v>
      </c>
      <c r="X1163" t="s">
        <v>349</v>
      </c>
      <c r="Y1163" t="s">
        <v>580</v>
      </c>
      <c r="Z1163">
        <v>2017</v>
      </c>
      <c r="AB1163">
        <v>12</v>
      </c>
      <c r="AC1163">
        <v>5.93</v>
      </c>
      <c r="AE1163" t="s">
        <v>346</v>
      </c>
      <c r="AF1163">
        <v>46.142674</v>
      </c>
      <c r="AG1163">
        <v>-115.598088</v>
      </c>
      <c r="AH1163">
        <v>15694846</v>
      </c>
    </row>
    <row r="1164" spans="2:34">
      <c r="B1164" t="s">
        <v>345</v>
      </c>
      <c r="C1164" t="s">
        <v>1269</v>
      </c>
      <c r="D1164" s="3">
        <v>42851.30972222222</v>
      </c>
      <c r="F1164">
        <v>2017</v>
      </c>
      <c r="G1164" t="s">
        <v>578</v>
      </c>
      <c r="H1164" t="s">
        <v>352</v>
      </c>
      <c r="J1164">
        <v>0</v>
      </c>
      <c r="L1164">
        <v>1</v>
      </c>
      <c r="M1164">
        <v>175</v>
      </c>
      <c r="N1164">
        <v>46</v>
      </c>
      <c r="O1164" t="s">
        <v>575</v>
      </c>
      <c r="P1164" t="s">
        <v>680</v>
      </c>
      <c r="Q1164" t="s">
        <v>1272</v>
      </c>
      <c r="R1164" t="s">
        <v>1270</v>
      </c>
      <c r="U1164">
        <v>6</v>
      </c>
      <c r="V1164">
        <v>6</v>
      </c>
      <c r="W1164" t="s">
        <v>350</v>
      </c>
      <c r="X1164" t="s">
        <v>349</v>
      </c>
      <c r="Y1164" t="s">
        <v>580</v>
      </c>
      <c r="Z1164">
        <v>2017</v>
      </c>
      <c r="AB1164">
        <v>12</v>
      </c>
      <c r="AC1164">
        <v>5.93</v>
      </c>
      <c r="AE1164" t="s">
        <v>346</v>
      </c>
      <c r="AF1164">
        <v>46.142674</v>
      </c>
      <c r="AG1164">
        <v>-115.598088</v>
      </c>
      <c r="AH1164">
        <v>15694847</v>
      </c>
    </row>
    <row r="1165" spans="2:34">
      <c r="B1165" t="s">
        <v>345</v>
      </c>
      <c r="C1165" t="s">
        <v>1269</v>
      </c>
      <c r="D1165" s="3">
        <v>42851.30972222222</v>
      </c>
      <c r="F1165">
        <v>2017</v>
      </c>
      <c r="G1165" t="s">
        <v>578</v>
      </c>
      <c r="H1165" t="s">
        <v>352</v>
      </c>
      <c r="J1165">
        <v>0</v>
      </c>
      <c r="L1165">
        <v>1</v>
      </c>
      <c r="M1165">
        <v>148</v>
      </c>
      <c r="N1165">
        <v>31</v>
      </c>
      <c r="O1165" t="s">
        <v>575</v>
      </c>
      <c r="Q1165" t="s">
        <v>1273</v>
      </c>
      <c r="R1165" t="s">
        <v>1270</v>
      </c>
      <c r="U1165">
        <v>6</v>
      </c>
      <c r="V1165">
        <v>6</v>
      </c>
      <c r="W1165" t="s">
        <v>350</v>
      </c>
      <c r="X1165" t="s">
        <v>349</v>
      </c>
      <c r="Y1165" t="s">
        <v>580</v>
      </c>
      <c r="Z1165">
        <v>2017</v>
      </c>
      <c r="AB1165">
        <v>12</v>
      </c>
      <c r="AC1165">
        <v>5.93</v>
      </c>
      <c r="AE1165" t="s">
        <v>346</v>
      </c>
      <c r="AF1165">
        <v>46.142674</v>
      </c>
      <c r="AG1165">
        <v>-115.598088</v>
      </c>
      <c r="AH1165">
        <v>15694848</v>
      </c>
    </row>
    <row r="1166" spans="2:34">
      <c r="B1166" t="s">
        <v>345</v>
      </c>
      <c r="C1166" t="s">
        <v>1269</v>
      </c>
      <c r="D1166" s="3">
        <v>42851.30972222222</v>
      </c>
      <c r="F1166">
        <v>2017</v>
      </c>
      <c r="G1166" t="s">
        <v>574</v>
      </c>
      <c r="H1166" t="s">
        <v>352</v>
      </c>
      <c r="J1166">
        <v>0</v>
      </c>
      <c r="L1166">
        <v>1</v>
      </c>
      <c r="M1166">
        <v>106</v>
      </c>
      <c r="N1166">
        <v>16</v>
      </c>
      <c r="O1166" t="s">
        <v>575</v>
      </c>
      <c r="Q1166" t="s">
        <v>576</v>
      </c>
      <c r="R1166" t="s">
        <v>1270</v>
      </c>
      <c r="U1166">
        <v>6</v>
      </c>
      <c r="V1166">
        <v>6</v>
      </c>
      <c r="W1166" t="s">
        <v>350</v>
      </c>
      <c r="X1166" t="s">
        <v>349</v>
      </c>
      <c r="Y1166" t="s">
        <v>580</v>
      </c>
      <c r="Z1166">
        <v>2017</v>
      </c>
      <c r="AB1166">
        <v>12</v>
      </c>
      <c r="AC1166">
        <v>5.93</v>
      </c>
      <c r="AE1166" t="s">
        <v>346</v>
      </c>
      <c r="AF1166">
        <v>46.142674</v>
      </c>
      <c r="AG1166">
        <v>-115.598088</v>
      </c>
      <c r="AH1166">
        <v>15694849</v>
      </c>
    </row>
    <row r="1167" spans="2:34">
      <c r="B1167" t="s">
        <v>345</v>
      </c>
      <c r="C1167" t="s">
        <v>1269</v>
      </c>
      <c r="D1167" s="3">
        <v>42851.30972222222</v>
      </c>
      <c r="F1167">
        <v>2017</v>
      </c>
      <c r="G1167" t="s">
        <v>578</v>
      </c>
      <c r="H1167" t="s">
        <v>352</v>
      </c>
      <c r="J1167">
        <v>0</v>
      </c>
      <c r="L1167">
        <v>1</v>
      </c>
      <c r="M1167">
        <v>178</v>
      </c>
      <c r="N1167">
        <v>46</v>
      </c>
      <c r="O1167" t="s">
        <v>575</v>
      </c>
      <c r="Q1167" t="s">
        <v>1274</v>
      </c>
      <c r="R1167" t="s">
        <v>1270</v>
      </c>
      <c r="U1167">
        <v>6</v>
      </c>
      <c r="V1167">
        <v>6</v>
      </c>
      <c r="W1167" t="s">
        <v>350</v>
      </c>
      <c r="X1167" t="s">
        <v>349</v>
      </c>
      <c r="Y1167" t="s">
        <v>580</v>
      </c>
      <c r="Z1167">
        <v>2017</v>
      </c>
      <c r="AB1167">
        <v>12</v>
      </c>
      <c r="AC1167">
        <v>5.93</v>
      </c>
      <c r="AE1167" t="s">
        <v>346</v>
      </c>
      <c r="AF1167">
        <v>46.142674</v>
      </c>
      <c r="AG1167">
        <v>-115.598088</v>
      </c>
      <c r="AH1167">
        <v>15694850</v>
      </c>
    </row>
    <row r="1168" spans="2:34">
      <c r="B1168" t="s">
        <v>345</v>
      </c>
      <c r="C1168" t="s">
        <v>1269</v>
      </c>
      <c r="D1168" s="3">
        <v>42851.30972222222</v>
      </c>
      <c r="F1168">
        <v>2017</v>
      </c>
      <c r="G1168" t="s">
        <v>578</v>
      </c>
      <c r="H1168" t="s">
        <v>352</v>
      </c>
      <c r="J1168">
        <v>0</v>
      </c>
      <c r="L1168">
        <v>1</v>
      </c>
      <c r="M1168">
        <v>180</v>
      </c>
      <c r="N1168">
        <v>49</v>
      </c>
      <c r="O1168" t="s">
        <v>575</v>
      </c>
      <c r="Q1168" t="s">
        <v>1275</v>
      </c>
      <c r="R1168" t="s">
        <v>1270</v>
      </c>
      <c r="U1168">
        <v>6</v>
      </c>
      <c r="V1168">
        <v>6</v>
      </c>
      <c r="W1168" t="s">
        <v>350</v>
      </c>
      <c r="X1168" t="s">
        <v>349</v>
      </c>
      <c r="Y1168" t="s">
        <v>580</v>
      </c>
      <c r="Z1168">
        <v>2017</v>
      </c>
      <c r="AB1168">
        <v>12</v>
      </c>
      <c r="AC1168">
        <v>5.93</v>
      </c>
      <c r="AE1168" t="s">
        <v>346</v>
      </c>
      <c r="AF1168">
        <v>46.142674</v>
      </c>
      <c r="AG1168">
        <v>-115.598088</v>
      </c>
      <c r="AH1168">
        <v>15694851</v>
      </c>
    </row>
    <row r="1169" spans="2:34">
      <c r="B1169" t="s">
        <v>345</v>
      </c>
      <c r="C1169" t="s">
        <v>1269</v>
      </c>
      <c r="D1169" s="3">
        <v>42851.30972222222</v>
      </c>
      <c r="F1169">
        <v>2017</v>
      </c>
      <c r="G1169" t="s">
        <v>578</v>
      </c>
      <c r="H1169" t="s">
        <v>352</v>
      </c>
      <c r="J1169">
        <v>0</v>
      </c>
      <c r="L1169">
        <v>1</v>
      </c>
      <c r="M1169">
        <v>168</v>
      </c>
      <c r="N1169">
        <v>42</v>
      </c>
      <c r="O1169" t="s">
        <v>575</v>
      </c>
      <c r="Q1169" t="s">
        <v>1276</v>
      </c>
      <c r="R1169" t="s">
        <v>1270</v>
      </c>
      <c r="U1169">
        <v>6</v>
      </c>
      <c r="V1169">
        <v>6</v>
      </c>
      <c r="W1169" t="s">
        <v>350</v>
      </c>
      <c r="X1169" t="s">
        <v>349</v>
      </c>
      <c r="Y1169" t="s">
        <v>580</v>
      </c>
      <c r="Z1169">
        <v>2017</v>
      </c>
      <c r="AB1169">
        <v>12</v>
      </c>
      <c r="AC1169">
        <v>5.93</v>
      </c>
      <c r="AE1169" t="s">
        <v>346</v>
      </c>
      <c r="AF1169">
        <v>46.142674</v>
      </c>
      <c r="AG1169">
        <v>-115.598088</v>
      </c>
      <c r="AH1169">
        <v>15694852</v>
      </c>
    </row>
    <row r="1170" spans="2:34">
      <c r="B1170" t="s">
        <v>345</v>
      </c>
      <c r="C1170" t="s">
        <v>1269</v>
      </c>
      <c r="D1170" s="3">
        <v>42851.30972222222</v>
      </c>
      <c r="F1170">
        <v>2017</v>
      </c>
      <c r="G1170" t="s">
        <v>578</v>
      </c>
      <c r="H1170" t="s">
        <v>352</v>
      </c>
      <c r="J1170">
        <v>0</v>
      </c>
      <c r="L1170">
        <v>1</v>
      </c>
      <c r="M1170">
        <v>169</v>
      </c>
      <c r="N1170">
        <v>43</v>
      </c>
      <c r="O1170" t="s">
        <v>575</v>
      </c>
      <c r="Q1170" t="s">
        <v>1277</v>
      </c>
      <c r="R1170" t="s">
        <v>1270</v>
      </c>
      <c r="U1170">
        <v>6</v>
      </c>
      <c r="V1170">
        <v>6</v>
      </c>
      <c r="W1170" t="s">
        <v>350</v>
      </c>
      <c r="X1170" t="s">
        <v>349</v>
      </c>
      <c r="Y1170" t="s">
        <v>580</v>
      </c>
      <c r="Z1170">
        <v>2017</v>
      </c>
      <c r="AB1170">
        <v>12</v>
      </c>
      <c r="AC1170">
        <v>5.93</v>
      </c>
      <c r="AE1170" t="s">
        <v>346</v>
      </c>
      <c r="AF1170">
        <v>46.142674</v>
      </c>
      <c r="AG1170">
        <v>-115.598088</v>
      </c>
      <c r="AH1170">
        <v>15694853</v>
      </c>
    </row>
    <row r="1171" spans="2:34">
      <c r="B1171" t="s">
        <v>345</v>
      </c>
      <c r="C1171" t="s">
        <v>1269</v>
      </c>
      <c r="D1171" s="3">
        <v>42851.30972222222</v>
      </c>
      <c r="F1171">
        <v>2017</v>
      </c>
      <c r="G1171" t="s">
        <v>578</v>
      </c>
      <c r="H1171" t="s">
        <v>352</v>
      </c>
      <c r="J1171">
        <v>0</v>
      </c>
      <c r="L1171">
        <v>1</v>
      </c>
      <c r="M1171">
        <v>159</v>
      </c>
      <c r="N1171">
        <v>35</v>
      </c>
      <c r="O1171" t="s">
        <v>575</v>
      </c>
      <c r="Q1171" t="s">
        <v>1278</v>
      </c>
      <c r="R1171" t="s">
        <v>1270</v>
      </c>
      <c r="U1171">
        <v>6</v>
      </c>
      <c r="V1171">
        <v>6</v>
      </c>
      <c r="W1171" t="s">
        <v>350</v>
      </c>
      <c r="X1171" t="s">
        <v>349</v>
      </c>
      <c r="Y1171" t="s">
        <v>580</v>
      </c>
      <c r="Z1171">
        <v>2017</v>
      </c>
      <c r="AB1171">
        <v>12</v>
      </c>
      <c r="AC1171">
        <v>5.93</v>
      </c>
      <c r="AE1171" t="s">
        <v>346</v>
      </c>
      <c r="AF1171">
        <v>46.142674</v>
      </c>
      <c r="AG1171">
        <v>-115.598088</v>
      </c>
      <c r="AH1171">
        <v>15694854</v>
      </c>
    </row>
    <row r="1172" spans="2:34">
      <c r="B1172" t="s">
        <v>345</v>
      </c>
      <c r="C1172" t="s">
        <v>1269</v>
      </c>
      <c r="D1172" s="3">
        <v>42851.30972222222</v>
      </c>
      <c r="F1172">
        <v>2017</v>
      </c>
      <c r="G1172" t="s">
        <v>578</v>
      </c>
      <c r="H1172" t="s">
        <v>352</v>
      </c>
      <c r="J1172">
        <v>0</v>
      </c>
      <c r="L1172">
        <v>1</v>
      </c>
      <c r="M1172">
        <v>173</v>
      </c>
      <c r="N1172">
        <v>47</v>
      </c>
      <c r="O1172" t="s">
        <v>575</v>
      </c>
      <c r="Q1172" t="s">
        <v>1279</v>
      </c>
      <c r="R1172" t="s">
        <v>1270</v>
      </c>
      <c r="U1172">
        <v>6</v>
      </c>
      <c r="V1172">
        <v>6</v>
      </c>
      <c r="W1172" t="s">
        <v>350</v>
      </c>
      <c r="X1172" t="s">
        <v>349</v>
      </c>
      <c r="Y1172" t="s">
        <v>580</v>
      </c>
      <c r="Z1172">
        <v>2017</v>
      </c>
      <c r="AB1172">
        <v>12</v>
      </c>
      <c r="AC1172">
        <v>5.93</v>
      </c>
      <c r="AE1172" t="s">
        <v>346</v>
      </c>
      <c r="AF1172">
        <v>46.142674</v>
      </c>
      <c r="AG1172">
        <v>-115.598088</v>
      </c>
      <c r="AH1172">
        <v>15694855</v>
      </c>
    </row>
    <row r="1173" spans="2:34">
      <c r="B1173" t="s">
        <v>345</v>
      </c>
      <c r="C1173" t="s">
        <v>1269</v>
      </c>
      <c r="D1173" s="3">
        <v>42851.30972222222</v>
      </c>
      <c r="F1173">
        <v>2017</v>
      </c>
      <c r="G1173" t="s">
        <v>578</v>
      </c>
      <c r="H1173" t="s">
        <v>352</v>
      </c>
      <c r="J1173">
        <v>0</v>
      </c>
      <c r="L1173">
        <v>1</v>
      </c>
      <c r="M1173">
        <v>195</v>
      </c>
      <c r="N1173">
        <v>64</v>
      </c>
      <c r="O1173" t="s">
        <v>575</v>
      </c>
      <c r="Q1173" t="s">
        <v>1280</v>
      </c>
      <c r="R1173" t="s">
        <v>1270</v>
      </c>
      <c r="U1173">
        <v>6</v>
      </c>
      <c r="V1173">
        <v>6</v>
      </c>
      <c r="W1173" t="s">
        <v>350</v>
      </c>
      <c r="X1173" t="s">
        <v>349</v>
      </c>
      <c r="Y1173" t="s">
        <v>580</v>
      </c>
      <c r="Z1173">
        <v>2017</v>
      </c>
      <c r="AB1173">
        <v>12</v>
      </c>
      <c r="AC1173">
        <v>5.93</v>
      </c>
      <c r="AE1173" t="s">
        <v>346</v>
      </c>
      <c r="AF1173">
        <v>46.142674</v>
      </c>
      <c r="AG1173">
        <v>-115.598088</v>
      </c>
      <c r="AH1173">
        <v>15694856</v>
      </c>
    </row>
    <row r="1174" spans="2:34">
      <c r="B1174" t="s">
        <v>345</v>
      </c>
      <c r="C1174" t="s">
        <v>1269</v>
      </c>
      <c r="D1174" s="3">
        <v>42851.30972222222</v>
      </c>
      <c r="F1174">
        <v>2017</v>
      </c>
      <c r="G1174" t="s">
        <v>578</v>
      </c>
      <c r="H1174" t="s">
        <v>352</v>
      </c>
      <c r="J1174">
        <v>0</v>
      </c>
      <c r="L1174">
        <v>1</v>
      </c>
      <c r="M1174">
        <v>186</v>
      </c>
      <c r="N1174">
        <v>55</v>
      </c>
      <c r="O1174" t="s">
        <v>575</v>
      </c>
      <c r="Q1174" t="s">
        <v>1281</v>
      </c>
      <c r="R1174" t="s">
        <v>1270</v>
      </c>
      <c r="U1174">
        <v>6</v>
      </c>
      <c r="V1174">
        <v>6</v>
      </c>
      <c r="W1174" t="s">
        <v>350</v>
      </c>
      <c r="X1174" t="s">
        <v>349</v>
      </c>
      <c r="Y1174" t="s">
        <v>580</v>
      </c>
      <c r="Z1174">
        <v>2017</v>
      </c>
      <c r="AB1174">
        <v>12</v>
      </c>
      <c r="AC1174">
        <v>5.93</v>
      </c>
      <c r="AE1174" t="s">
        <v>346</v>
      </c>
      <c r="AF1174">
        <v>46.142674</v>
      </c>
      <c r="AG1174">
        <v>-115.598088</v>
      </c>
      <c r="AH1174">
        <v>15694857</v>
      </c>
    </row>
    <row r="1175" spans="2:34">
      <c r="B1175" t="s">
        <v>345</v>
      </c>
      <c r="C1175" t="s">
        <v>1269</v>
      </c>
      <c r="D1175" s="3">
        <v>42851.30972222222</v>
      </c>
      <c r="F1175">
        <v>2017</v>
      </c>
      <c r="G1175" t="s">
        <v>578</v>
      </c>
      <c r="H1175" t="s">
        <v>352</v>
      </c>
      <c r="J1175">
        <v>0</v>
      </c>
      <c r="L1175">
        <v>1</v>
      </c>
      <c r="M1175">
        <v>175</v>
      </c>
      <c r="N1175">
        <v>46</v>
      </c>
      <c r="O1175" t="s">
        <v>575</v>
      </c>
      <c r="Q1175" t="s">
        <v>1282</v>
      </c>
      <c r="R1175" t="s">
        <v>1270</v>
      </c>
      <c r="U1175">
        <v>6</v>
      </c>
      <c r="V1175">
        <v>6</v>
      </c>
      <c r="W1175" t="s">
        <v>350</v>
      </c>
      <c r="X1175" t="s">
        <v>349</v>
      </c>
      <c r="Y1175" t="s">
        <v>580</v>
      </c>
      <c r="Z1175">
        <v>2017</v>
      </c>
      <c r="AB1175">
        <v>12</v>
      </c>
      <c r="AC1175">
        <v>5.93</v>
      </c>
      <c r="AE1175" t="s">
        <v>346</v>
      </c>
      <c r="AF1175">
        <v>46.142674</v>
      </c>
      <c r="AG1175">
        <v>-115.598088</v>
      </c>
      <c r="AH1175">
        <v>15694858</v>
      </c>
    </row>
    <row r="1176" spans="2:34">
      <c r="B1176" t="s">
        <v>345</v>
      </c>
      <c r="C1176" t="s">
        <v>1269</v>
      </c>
      <c r="D1176" s="3">
        <v>42851.30972222222</v>
      </c>
      <c r="F1176">
        <v>2017</v>
      </c>
      <c r="G1176" t="s">
        <v>578</v>
      </c>
      <c r="H1176" t="s">
        <v>352</v>
      </c>
      <c r="J1176">
        <v>0</v>
      </c>
      <c r="L1176">
        <v>1</v>
      </c>
      <c r="M1176">
        <v>178</v>
      </c>
      <c r="N1176">
        <v>48</v>
      </c>
      <c r="O1176" t="s">
        <v>575</v>
      </c>
      <c r="Q1176" t="s">
        <v>1283</v>
      </c>
      <c r="R1176" t="s">
        <v>1270</v>
      </c>
      <c r="U1176">
        <v>6</v>
      </c>
      <c r="V1176">
        <v>6</v>
      </c>
      <c r="W1176" t="s">
        <v>350</v>
      </c>
      <c r="X1176" t="s">
        <v>349</v>
      </c>
      <c r="Y1176" t="s">
        <v>580</v>
      </c>
      <c r="Z1176">
        <v>2017</v>
      </c>
      <c r="AB1176">
        <v>12</v>
      </c>
      <c r="AC1176">
        <v>5.93</v>
      </c>
      <c r="AE1176" t="s">
        <v>346</v>
      </c>
      <c r="AF1176">
        <v>46.142674</v>
      </c>
      <c r="AG1176">
        <v>-115.598088</v>
      </c>
      <c r="AH1176">
        <v>15694859</v>
      </c>
    </row>
    <row r="1177" spans="2:34">
      <c r="B1177" t="s">
        <v>345</v>
      </c>
      <c r="C1177" t="s">
        <v>1269</v>
      </c>
      <c r="D1177" s="3">
        <v>42851.30972222222</v>
      </c>
      <c r="F1177">
        <v>2017</v>
      </c>
      <c r="G1177" t="s">
        <v>578</v>
      </c>
      <c r="H1177" t="s">
        <v>352</v>
      </c>
      <c r="J1177">
        <v>0</v>
      </c>
      <c r="L1177">
        <v>1</v>
      </c>
      <c r="M1177">
        <v>151</v>
      </c>
      <c r="N1177">
        <v>31</v>
      </c>
      <c r="O1177" t="s">
        <v>575</v>
      </c>
      <c r="Q1177" t="s">
        <v>1284</v>
      </c>
      <c r="R1177" t="s">
        <v>1270</v>
      </c>
      <c r="U1177">
        <v>6</v>
      </c>
      <c r="V1177">
        <v>6</v>
      </c>
      <c r="W1177" t="s">
        <v>350</v>
      </c>
      <c r="X1177" t="s">
        <v>349</v>
      </c>
      <c r="Y1177" t="s">
        <v>580</v>
      </c>
      <c r="Z1177">
        <v>2017</v>
      </c>
      <c r="AB1177">
        <v>12</v>
      </c>
      <c r="AC1177">
        <v>5.93</v>
      </c>
      <c r="AE1177" t="s">
        <v>346</v>
      </c>
      <c r="AF1177">
        <v>46.142674</v>
      </c>
      <c r="AG1177">
        <v>-115.598088</v>
      </c>
      <c r="AH1177">
        <v>15694860</v>
      </c>
    </row>
    <row r="1178" spans="2:34">
      <c r="B1178" t="s">
        <v>345</v>
      </c>
      <c r="C1178" t="s">
        <v>1269</v>
      </c>
      <c r="D1178" s="3">
        <v>42851.30972222222</v>
      </c>
      <c r="F1178">
        <v>2017</v>
      </c>
      <c r="G1178" t="s">
        <v>578</v>
      </c>
      <c r="H1178" t="s">
        <v>352</v>
      </c>
      <c r="J1178">
        <v>0</v>
      </c>
      <c r="L1178">
        <v>1</v>
      </c>
      <c r="M1178">
        <v>169</v>
      </c>
      <c r="N1178">
        <v>40</v>
      </c>
      <c r="O1178" t="s">
        <v>575</v>
      </c>
      <c r="Q1178" t="s">
        <v>1285</v>
      </c>
      <c r="R1178" t="s">
        <v>1270</v>
      </c>
      <c r="U1178">
        <v>6</v>
      </c>
      <c r="V1178">
        <v>6</v>
      </c>
      <c r="W1178" t="s">
        <v>350</v>
      </c>
      <c r="X1178" t="s">
        <v>349</v>
      </c>
      <c r="Y1178" t="s">
        <v>580</v>
      </c>
      <c r="Z1178">
        <v>2017</v>
      </c>
      <c r="AB1178">
        <v>12</v>
      </c>
      <c r="AC1178">
        <v>5.93</v>
      </c>
      <c r="AE1178" t="s">
        <v>346</v>
      </c>
      <c r="AF1178">
        <v>46.142674</v>
      </c>
      <c r="AG1178">
        <v>-115.598088</v>
      </c>
      <c r="AH1178">
        <v>15694861</v>
      </c>
    </row>
    <row r="1179" spans="2:34">
      <c r="B1179" t="s">
        <v>345</v>
      </c>
      <c r="C1179" t="s">
        <v>1269</v>
      </c>
      <c r="D1179" s="3">
        <v>42851.30972222222</v>
      </c>
      <c r="F1179">
        <v>2017</v>
      </c>
      <c r="G1179" t="s">
        <v>578</v>
      </c>
      <c r="H1179" t="s">
        <v>352</v>
      </c>
      <c r="J1179">
        <v>0</v>
      </c>
      <c r="L1179">
        <v>1</v>
      </c>
      <c r="M1179">
        <v>184</v>
      </c>
      <c r="N1179">
        <v>52</v>
      </c>
      <c r="O1179" t="s">
        <v>575</v>
      </c>
      <c r="Q1179" t="s">
        <v>1286</v>
      </c>
      <c r="R1179" t="s">
        <v>1270</v>
      </c>
      <c r="U1179">
        <v>6</v>
      </c>
      <c r="V1179">
        <v>6</v>
      </c>
      <c r="W1179" t="s">
        <v>350</v>
      </c>
      <c r="X1179" t="s">
        <v>349</v>
      </c>
      <c r="Y1179" t="s">
        <v>580</v>
      </c>
      <c r="Z1179">
        <v>2017</v>
      </c>
      <c r="AB1179">
        <v>12</v>
      </c>
      <c r="AC1179">
        <v>5.93</v>
      </c>
      <c r="AE1179" t="s">
        <v>346</v>
      </c>
      <c r="AF1179">
        <v>46.142674</v>
      </c>
      <c r="AG1179">
        <v>-115.598088</v>
      </c>
      <c r="AH1179">
        <v>15694862</v>
      </c>
    </row>
    <row r="1180" spans="2:34">
      <c r="B1180" t="s">
        <v>345</v>
      </c>
      <c r="C1180" t="s">
        <v>1269</v>
      </c>
      <c r="D1180" s="3">
        <v>42851.30972222222</v>
      </c>
      <c r="F1180">
        <v>2017</v>
      </c>
      <c r="G1180" t="s">
        <v>578</v>
      </c>
      <c r="H1180" t="s">
        <v>352</v>
      </c>
      <c r="J1180">
        <v>0</v>
      </c>
      <c r="L1180">
        <v>1</v>
      </c>
      <c r="M1180">
        <v>187</v>
      </c>
      <c r="N1180">
        <v>55</v>
      </c>
      <c r="O1180" t="s">
        <v>575</v>
      </c>
      <c r="Q1180" t="s">
        <v>1287</v>
      </c>
      <c r="R1180" t="s">
        <v>1270</v>
      </c>
      <c r="U1180">
        <v>6</v>
      </c>
      <c r="V1180">
        <v>6</v>
      </c>
      <c r="W1180" t="s">
        <v>350</v>
      </c>
      <c r="X1180" t="s">
        <v>349</v>
      </c>
      <c r="Y1180" t="s">
        <v>580</v>
      </c>
      <c r="Z1180">
        <v>2017</v>
      </c>
      <c r="AB1180">
        <v>12</v>
      </c>
      <c r="AC1180">
        <v>5.93</v>
      </c>
      <c r="AE1180" t="s">
        <v>346</v>
      </c>
      <c r="AF1180">
        <v>46.142674</v>
      </c>
      <c r="AG1180">
        <v>-115.598088</v>
      </c>
      <c r="AH1180">
        <v>15694863</v>
      </c>
    </row>
    <row r="1181" spans="2:34">
      <c r="B1181" t="s">
        <v>345</v>
      </c>
      <c r="C1181" t="s">
        <v>1269</v>
      </c>
      <c r="D1181" s="3">
        <v>42851.30972222222</v>
      </c>
      <c r="F1181">
        <v>2017</v>
      </c>
      <c r="G1181" t="s">
        <v>578</v>
      </c>
      <c r="H1181" t="s">
        <v>352</v>
      </c>
      <c r="J1181">
        <v>0</v>
      </c>
      <c r="L1181">
        <v>1</v>
      </c>
      <c r="M1181">
        <v>185</v>
      </c>
      <c r="N1181">
        <v>55</v>
      </c>
      <c r="O1181" t="s">
        <v>575</v>
      </c>
      <c r="Q1181" t="s">
        <v>1288</v>
      </c>
      <c r="R1181" t="s">
        <v>1270</v>
      </c>
      <c r="U1181">
        <v>6</v>
      </c>
      <c r="V1181">
        <v>6</v>
      </c>
      <c r="W1181" t="s">
        <v>350</v>
      </c>
      <c r="X1181" t="s">
        <v>349</v>
      </c>
      <c r="Y1181" t="s">
        <v>580</v>
      </c>
      <c r="Z1181">
        <v>2017</v>
      </c>
      <c r="AB1181">
        <v>12</v>
      </c>
      <c r="AC1181">
        <v>5.93</v>
      </c>
      <c r="AE1181" t="s">
        <v>346</v>
      </c>
      <c r="AF1181">
        <v>46.142674</v>
      </c>
      <c r="AG1181">
        <v>-115.598088</v>
      </c>
      <c r="AH1181">
        <v>15694864</v>
      </c>
    </row>
    <row r="1182" spans="2:34">
      <c r="B1182" t="s">
        <v>345</v>
      </c>
      <c r="C1182" t="s">
        <v>1269</v>
      </c>
      <c r="D1182" s="3">
        <v>42851.30972222222</v>
      </c>
      <c r="F1182">
        <v>2017</v>
      </c>
      <c r="G1182" t="s">
        <v>578</v>
      </c>
      <c r="H1182" t="s">
        <v>352</v>
      </c>
      <c r="J1182">
        <v>0</v>
      </c>
      <c r="L1182">
        <v>1</v>
      </c>
      <c r="M1182">
        <v>150</v>
      </c>
      <c r="N1182">
        <v>32</v>
      </c>
      <c r="O1182" t="s">
        <v>575</v>
      </c>
      <c r="Q1182" t="s">
        <v>1289</v>
      </c>
      <c r="R1182" t="s">
        <v>1270</v>
      </c>
      <c r="U1182">
        <v>6</v>
      </c>
      <c r="V1182">
        <v>6</v>
      </c>
      <c r="W1182" t="s">
        <v>350</v>
      </c>
      <c r="X1182" t="s">
        <v>349</v>
      </c>
      <c r="Y1182" t="s">
        <v>580</v>
      </c>
      <c r="Z1182">
        <v>2017</v>
      </c>
      <c r="AB1182">
        <v>12</v>
      </c>
      <c r="AC1182">
        <v>5.93</v>
      </c>
      <c r="AE1182" t="s">
        <v>346</v>
      </c>
      <c r="AF1182">
        <v>46.142674</v>
      </c>
      <c r="AG1182">
        <v>-115.598088</v>
      </c>
      <c r="AH1182">
        <v>15694865</v>
      </c>
    </row>
    <row r="1183" spans="2:34">
      <c r="B1183" t="s">
        <v>345</v>
      </c>
      <c r="C1183" t="s">
        <v>1269</v>
      </c>
      <c r="D1183" s="3">
        <v>42851.30972222222</v>
      </c>
      <c r="F1183">
        <v>2017</v>
      </c>
      <c r="G1183" t="s">
        <v>578</v>
      </c>
      <c r="H1183" t="s">
        <v>352</v>
      </c>
      <c r="J1183">
        <v>0</v>
      </c>
      <c r="L1183">
        <v>1</v>
      </c>
      <c r="M1183">
        <v>172</v>
      </c>
      <c r="N1183">
        <v>45</v>
      </c>
      <c r="O1183" t="s">
        <v>575</v>
      </c>
      <c r="Q1183" t="s">
        <v>1290</v>
      </c>
      <c r="R1183" t="s">
        <v>1270</v>
      </c>
      <c r="U1183">
        <v>6</v>
      </c>
      <c r="V1183">
        <v>6</v>
      </c>
      <c r="W1183" t="s">
        <v>350</v>
      </c>
      <c r="X1183" t="s">
        <v>349</v>
      </c>
      <c r="Y1183" t="s">
        <v>580</v>
      </c>
      <c r="Z1183">
        <v>2017</v>
      </c>
      <c r="AB1183">
        <v>12</v>
      </c>
      <c r="AC1183">
        <v>5.93</v>
      </c>
      <c r="AE1183" t="s">
        <v>346</v>
      </c>
      <c r="AF1183">
        <v>46.142674</v>
      </c>
      <c r="AG1183">
        <v>-115.598088</v>
      </c>
      <c r="AH1183">
        <v>15694866</v>
      </c>
    </row>
    <row r="1184" spans="2:34">
      <c r="B1184" t="s">
        <v>345</v>
      </c>
      <c r="C1184" t="s">
        <v>1269</v>
      </c>
      <c r="D1184" s="3">
        <v>42851.30972222222</v>
      </c>
      <c r="F1184">
        <v>2017</v>
      </c>
      <c r="G1184" t="s">
        <v>578</v>
      </c>
      <c r="H1184" t="s">
        <v>352</v>
      </c>
      <c r="J1184">
        <v>0</v>
      </c>
      <c r="L1184">
        <v>1</v>
      </c>
      <c r="M1184">
        <v>201</v>
      </c>
      <c r="N1184">
        <v>71</v>
      </c>
      <c r="O1184" t="s">
        <v>575</v>
      </c>
      <c r="Q1184" t="s">
        <v>1291</v>
      </c>
      <c r="R1184" t="s">
        <v>1270</v>
      </c>
      <c r="U1184">
        <v>6</v>
      </c>
      <c r="V1184">
        <v>6</v>
      </c>
      <c r="W1184" t="s">
        <v>350</v>
      </c>
      <c r="X1184" t="s">
        <v>349</v>
      </c>
      <c r="Y1184" t="s">
        <v>580</v>
      </c>
      <c r="Z1184">
        <v>2017</v>
      </c>
      <c r="AB1184">
        <v>12</v>
      </c>
      <c r="AC1184">
        <v>5.93</v>
      </c>
      <c r="AE1184" t="s">
        <v>346</v>
      </c>
      <c r="AF1184">
        <v>46.142674</v>
      </c>
      <c r="AG1184">
        <v>-115.598088</v>
      </c>
      <c r="AH1184">
        <v>15694867</v>
      </c>
    </row>
    <row r="1185" spans="2:35">
      <c r="B1185" t="s">
        <v>345</v>
      </c>
      <c r="C1185" t="s">
        <v>1269</v>
      </c>
      <c r="D1185" s="3">
        <v>42851.30972222222</v>
      </c>
      <c r="F1185">
        <v>2017</v>
      </c>
      <c r="G1185" t="s">
        <v>578</v>
      </c>
      <c r="H1185" t="s">
        <v>352</v>
      </c>
      <c r="J1185">
        <v>0</v>
      </c>
      <c r="L1185">
        <v>1</v>
      </c>
      <c r="M1185">
        <v>180</v>
      </c>
      <c r="N1185">
        <v>51</v>
      </c>
      <c r="O1185" t="s">
        <v>575</v>
      </c>
      <c r="Q1185" t="s">
        <v>1292</v>
      </c>
      <c r="R1185" t="s">
        <v>1270</v>
      </c>
      <c r="U1185">
        <v>6</v>
      </c>
      <c r="V1185">
        <v>6</v>
      </c>
      <c r="W1185" t="s">
        <v>350</v>
      </c>
      <c r="X1185" t="s">
        <v>349</v>
      </c>
      <c r="Y1185" t="s">
        <v>580</v>
      </c>
      <c r="Z1185">
        <v>2017</v>
      </c>
      <c r="AB1185">
        <v>12</v>
      </c>
      <c r="AC1185">
        <v>5.93</v>
      </c>
      <c r="AE1185" t="s">
        <v>346</v>
      </c>
      <c r="AF1185">
        <v>46.142674</v>
      </c>
      <c r="AG1185">
        <v>-115.598088</v>
      </c>
      <c r="AH1185">
        <v>15694868</v>
      </c>
    </row>
    <row r="1186" spans="2:35">
      <c r="B1186" t="s">
        <v>345</v>
      </c>
      <c r="C1186" t="s">
        <v>1269</v>
      </c>
      <c r="D1186" s="3">
        <v>42851.30972222222</v>
      </c>
      <c r="F1186">
        <v>2017</v>
      </c>
      <c r="G1186" t="s">
        <v>578</v>
      </c>
      <c r="H1186" t="s">
        <v>352</v>
      </c>
      <c r="J1186">
        <v>0</v>
      </c>
      <c r="L1186">
        <v>1</v>
      </c>
      <c r="M1186">
        <v>159</v>
      </c>
      <c r="N1186">
        <v>34</v>
      </c>
      <c r="O1186" t="s">
        <v>575</v>
      </c>
      <c r="Q1186" t="s">
        <v>1293</v>
      </c>
      <c r="R1186" t="s">
        <v>1270</v>
      </c>
      <c r="U1186">
        <v>6</v>
      </c>
      <c r="V1186">
        <v>6</v>
      </c>
      <c r="W1186" t="s">
        <v>350</v>
      </c>
      <c r="X1186" t="s">
        <v>349</v>
      </c>
      <c r="Y1186" t="s">
        <v>580</v>
      </c>
      <c r="Z1186">
        <v>2017</v>
      </c>
      <c r="AB1186">
        <v>12</v>
      </c>
      <c r="AC1186">
        <v>5.93</v>
      </c>
      <c r="AE1186" t="s">
        <v>346</v>
      </c>
      <c r="AF1186">
        <v>46.142674</v>
      </c>
      <c r="AG1186">
        <v>-115.598088</v>
      </c>
      <c r="AH1186">
        <v>15694869</v>
      </c>
    </row>
    <row r="1187" spans="2:35">
      <c r="B1187" t="s">
        <v>345</v>
      </c>
      <c r="C1187" t="s">
        <v>1294</v>
      </c>
      <c r="D1187" s="3">
        <v>43030.675000000003</v>
      </c>
      <c r="F1187">
        <v>2017</v>
      </c>
      <c r="G1187" t="s">
        <v>615</v>
      </c>
      <c r="H1187" t="s">
        <v>352</v>
      </c>
      <c r="J1187">
        <v>0</v>
      </c>
      <c r="L1187">
        <v>1</v>
      </c>
      <c r="M1187">
        <v>305</v>
      </c>
      <c r="N1187">
        <v>0</v>
      </c>
      <c r="O1187" t="s">
        <v>353</v>
      </c>
      <c r="R1187" t="s">
        <v>603</v>
      </c>
      <c r="U1187">
        <v>7</v>
      </c>
      <c r="V1187">
        <v>7</v>
      </c>
      <c r="W1187" t="s">
        <v>350</v>
      </c>
      <c r="X1187" t="s">
        <v>349</v>
      </c>
      <c r="Y1187" t="s">
        <v>348</v>
      </c>
      <c r="Z1187">
        <v>2017</v>
      </c>
      <c r="AB1187">
        <v>10</v>
      </c>
      <c r="AC1187">
        <v>2.66</v>
      </c>
      <c r="AE1187" t="s">
        <v>346</v>
      </c>
      <c r="AF1187">
        <v>46.142674</v>
      </c>
      <c r="AG1187">
        <v>-115.598088</v>
      </c>
      <c r="AH1187">
        <v>15748182</v>
      </c>
    </row>
    <row r="1188" spans="2:35">
      <c r="B1188" t="s">
        <v>345</v>
      </c>
      <c r="C1188" t="s">
        <v>1294</v>
      </c>
      <c r="D1188" s="3">
        <v>43030.675000000003</v>
      </c>
      <c r="F1188">
        <v>2017</v>
      </c>
      <c r="G1188" t="s">
        <v>482</v>
      </c>
      <c r="H1188" t="s">
        <v>352</v>
      </c>
      <c r="J1188">
        <v>0</v>
      </c>
      <c r="L1188">
        <v>1</v>
      </c>
      <c r="M1188">
        <v>292</v>
      </c>
      <c r="N1188">
        <v>0</v>
      </c>
      <c r="O1188" t="s">
        <v>353</v>
      </c>
      <c r="R1188" t="s">
        <v>603</v>
      </c>
      <c r="U1188">
        <v>7</v>
      </c>
      <c r="V1188">
        <v>7</v>
      </c>
      <c r="W1188" t="s">
        <v>350</v>
      </c>
      <c r="X1188" t="s">
        <v>349</v>
      </c>
      <c r="Y1188" t="s">
        <v>348</v>
      </c>
      <c r="Z1188">
        <v>2017</v>
      </c>
      <c r="AB1188">
        <v>10</v>
      </c>
      <c r="AC1188">
        <v>2.66</v>
      </c>
      <c r="AE1188" t="s">
        <v>346</v>
      </c>
      <c r="AF1188">
        <v>46.142674</v>
      </c>
      <c r="AG1188">
        <v>-115.598088</v>
      </c>
      <c r="AH1188">
        <v>15748183</v>
      </c>
    </row>
    <row r="1189" spans="2:35">
      <c r="B1189" t="s">
        <v>345</v>
      </c>
      <c r="C1189" t="s">
        <v>1294</v>
      </c>
      <c r="D1189" s="3">
        <v>43030.675000000003</v>
      </c>
      <c r="F1189">
        <v>2017</v>
      </c>
      <c r="G1189" t="s">
        <v>480</v>
      </c>
      <c r="H1189" t="s">
        <v>352</v>
      </c>
      <c r="J1189">
        <v>0</v>
      </c>
      <c r="L1189">
        <v>1</v>
      </c>
      <c r="M1189">
        <v>286</v>
      </c>
      <c r="N1189">
        <v>0</v>
      </c>
      <c r="O1189" t="s">
        <v>353</v>
      </c>
      <c r="R1189" t="s">
        <v>603</v>
      </c>
      <c r="U1189">
        <v>7</v>
      </c>
      <c r="V1189">
        <v>7</v>
      </c>
      <c r="W1189" t="s">
        <v>350</v>
      </c>
      <c r="X1189" t="s">
        <v>349</v>
      </c>
      <c r="Y1189" t="s">
        <v>348</v>
      </c>
      <c r="Z1189">
        <v>2017</v>
      </c>
      <c r="AB1189">
        <v>10</v>
      </c>
      <c r="AC1189">
        <v>2.66</v>
      </c>
      <c r="AE1189" t="s">
        <v>346</v>
      </c>
      <c r="AF1189">
        <v>46.142674</v>
      </c>
      <c r="AG1189">
        <v>-115.598088</v>
      </c>
      <c r="AH1189">
        <v>15748184</v>
      </c>
    </row>
    <row r="1190" spans="2:35">
      <c r="B1190" t="s">
        <v>345</v>
      </c>
      <c r="C1190" t="s">
        <v>1294</v>
      </c>
      <c r="D1190" s="3">
        <v>43030.675000000003</v>
      </c>
      <c r="F1190">
        <v>2017</v>
      </c>
      <c r="G1190" t="s">
        <v>602</v>
      </c>
      <c r="H1190" t="s">
        <v>352</v>
      </c>
      <c r="J1190">
        <v>0</v>
      </c>
      <c r="L1190">
        <v>1</v>
      </c>
      <c r="M1190">
        <v>235</v>
      </c>
      <c r="N1190">
        <v>0</v>
      </c>
      <c r="O1190" t="s">
        <v>353</v>
      </c>
      <c r="R1190" t="s">
        <v>603</v>
      </c>
      <c r="U1190">
        <v>7</v>
      </c>
      <c r="V1190">
        <v>7</v>
      </c>
      <c r="W1190" t="s">
        <v>350</v>
      </c>
      <c r="X1190" t="s">
        <v>349</v>
      </c>
      <c r="Y1190" t="s">
        <v>348</v>
      </c>
      <c r="Z1190">
        <v>2017</v>
      </c>
      <c r="AB1190">
        <v>10</v>
      </c>
      <c r="AC1190">
        <v>2.66</v>
      </c>
      <c r="AE1190" t="s">
        <v>346</v>
      </c>
      <c r="AF1190">
        <v>46.142674</v>
      </c>
      <c r="AG1190">
        <v>-115.598088</v>
      </c>
      <c r="AH1190">
        <v>15748185</v>
      </c>
    </row>
    <row r="1191" spans="2:35">
      <c r="B1191" t="s">
        <v>345</v>
      </c>
      <c r="C1191" t="s">
        <v>1294</v>
      </c>
      <c r="D1191" s="3">
        <v>43030.675000000003</v>
      </c>
      <c r="F1191">
        <v>2017</v>
      </c>
      <c r="G1191" t="s">
        <v>605</v>
      </c>
      <c r="H1191" t="s">
        <v>352</v>
      </c>
      <c r="J1191">
        <v>0</v>
      </c>
      <c r="L1191">
        <v>1</v>
      </c>
      <c r="M1191">
        <v>132</v>
      </c>
      <c r="N1191">
        <v>0</v>
      </c>
      <c r="O1191" t="s">
        <v>353</v>
      </c>
      <c r="R1191" t="s">
        <v>603</v>
      </c>
      <c r="U1191">
        <v>7</v>
      </c>
      <c r="V1191">
        <v>7</v>
      </c>
      <c r="W1191" t="s">
        <v>350</v>
      </c>
      <c r="X1191" t="s">
        <v>349</v>
      </c>
      <c r="Y1191" t="s">
        <v>348</v>
      </c>
      <c r="Z1191">
        <v>2017</v>
      </c>
      <c r="AB1191">
        <v>10</v>
      </c>
      <c r="AC1191">
        <v>2.66</v>
      </c>
      <c r="AE1191" t="s">
        <v>346</v>
      </c>
      <c r="AF1191">
        <v>46.142674</v>
      </c>
      <c r="AG1191">
        <v>-115.598088</v>
      </c>
      <c r="AH1191">
        <v>15748186</v>
      </c>
    </row>
    <row r="1192" spans="2:35">
      <c r="B1192" t="s">
        <v>345</v>
      </c>
      <c r="C1192" t="s">
        <v>1294</v>
      </c>
      <c r="D1192" s="3">
        <v>43030.675000000003</v>
      </c>
      <c r="F1192">
        <v>2017</v>
      </c>
      <c r="G1192" t="s">
        <v>482</v>
      </c>
      <c r="H1192" t="s">
        <v>352</v>
      </c>
      <c r="J1192">
        <v>0</v>
      </c>
      <c r="L1192">
        <v>1</v>
      </c>
      <c r="M1192">
        <v>392</v>
      </c>
      <c r="N1192">
        <v>0</v>
      </c>
      <c r="O1192" t="s">
        <v>353</v>
      </c>
      <c r="R1192" t="s">
        <v>603</v>
      </c>
      <c r="U1192">
        <v>7</v>
      </c>
      <c r="V1192">
        <v>7</v>
      </c>
      <c r="W1192" t="s">
        <v>350</v>
      </c>
      <c r="X1192" t="s">
        <v>349</v>
      </c>
      <c r="Y1192" t="s">
        <v>348</v>
      </c>
      <c r="Z1192">
        <v>2017</v>
      </c>
      <c r="AB1192">
        <v>10</v>
      </c>
      <c r="AC1192">
        <v>2.66</v>
      </c>
      <c r="AE1192" t="s">
        <v>346</v>
      </c>
      <c r="AF1192">
        <v>46.142674</v>
      </c>
      <c r="AG1192">
        <v>-115.598088</v>
      </c>
      <c r="AH1192">
        <v>15748187</v>
      </c>
    </row>
    <row r="1193" spans="2:35">
      <c r="B1193" t="s">
        <v>345</v>
      </c>
      <c r="C1193" t="s">
        <v>1294</v>
      </c>
      <c r="D1193" s="3">
        <v>43030.675000000003</v>
      </c>
      <c r="F1193">
        <v>2017</v>
      </c>
      <c r="G1193" t="s">
        <v>480</v>
      </c>
      <c r="H1193" t="s">
        <v>352</v>
      </c>
      <c r="J1193">
        <v>0</v>
      </c>
      <c r="L1193">
        <v>1</v>
      </c>
      <c r="M1193">
        <v>335</v>
      </c>
      <c r="N1193">
        <v>0</v>
      </c>
      <c r="O1193" t="s">
        <v>353</v>
      </c>
      <c r="R1193" t="s">
        <v>603</v>
      </c>
      <c r="U1193">
        <v>7</v>
      </c>
      <c r="V1193">
        <v>7</v>
      </c>
      <c r="W1193" t="s">
        <v>350</v>
      </c>
      <c r="X1193" t="s">
        <v>349</v>
      </c>
      <c r="Y1193" t="s">
        <v>348</v>
      </c>
      <c r="Z1193">
        <v>2017</v>
      </c>
      <c r="AB1193">
        <v>10</v>
      </c>
      <c r="AC1193">
        <v>2.66</v>
      </c>
      <c r="AE1193" t="s">
        <v>346</v>
      </c>
      <c r="AF1193">
        <v>46.142674</v>
      </c>
      <c r="AG1193">
        <v>-115.598088</v>
      </c>
      <c r="AH1193">
        <v>15748188</v>
      </c>
    </row>
    <row r="1194" spans="2:35">
      <c r="B1194" t="s">
        <v>345</v>
      </c>
      <c r="C1194" t="s">
        <v>1294</v>
      </c>
      <c r="D1194" s="3">
        <v>43030.675000000003</v>
      </c>
      <c r="F1194">
        <v>2017</v>
      </c>
      <c r="G1194" t="s">
        <v>421</v>
      </c>
      <c r="H1194" t="s">
        <v>352</v>
      </c>
      <c r="J1194">
        <v>0</v>
      </c>
      <c r="L1194">
        <v>1</v>
      </c>
      <c r="M1194">
        <v>398</v>
      </c>
      <c r="N1194">
        <v>0</v>
      </c>
      <c r="O1194" t="s">
        <v>353</v>
      </c>
      <c r="R1194" t="s">
        <v>603</v>
      </c>
      <c r="U1194">
        <v>7</v>
      </c>
      <c r="V1194">
        <v>7</v>
      </c>
      <c r="W1194" t="s">
        <v>350</v>
      </c>
      <c r="X1194" t="s">
        <v>349</v>
      </c>
      <c r="Y1194" t="s">
        <v>348</v>
      </c>
      <c r="Z1194">
        <v>2017</v>
      </c>
      <c r="AB1194">
        <v>10</v>
      </c>
      <c r="AC1194">
        <v>2.66</v>
      </c>
      <c r="AE1194" t="s">
        <v>346</v>
      </c>
      <c r="AF1194">
        <v>46.142674</v>
      </c>
      <c r="AG1194">
        <v>-115.598088</v>
      </c>
      <c r="AH1194">
        <v>15748189</v>
      </c>
    </row>
    <row r="1195" spans="2:35">
      <c r="B1195" t="s">
        <v>345</v>
      </c>
      <c r="C1195" t="s">
        <v>1295</v>
      </c>
      <c r="D1195" s="3">
        <v>42840.290277777778</v>
      </c>
      <c r="F1195">
        <v>2017</v>
      </c>
      <c r="G1195" t="s">
        <v>578</v>
      </c>
      <c r="H1195" t="s">
        <v>352</v>
      </c>
      <c r="J1195">
        <v>0</v>
      </c>
      <c r="L1195">
        <v>1</v>
      </c>
      <c r="M1195">
        <v>183</v>
      </c>
      <c r="N1195">
        <v>57</v>
      </c>
      <c r="O1195" t="s">
        <v>575</v>
      </c>
      <c r="Q1195" t="s">
        <v>1296</v>
      </c>
      <c r="R1195" t="s">
        <v>1297</v>
      </c>
      <c r="U1195">
        <v>4.5</v>
      </c>
      <c r="V1195">
        <v>4.5</v>
      </c>
      <c r="W1195" t="s">
        <v>350</v>
      </c>
      <c r="X1195" t="s">
        <v>349</v>
      </c>
      <c r="Y1195" t="s">
        <v>348</v>
      </c>
      <c r="Z1195">
        <v>2017</v>
      </c>
      <c r="AB1195">
        <v>14</v>
      </c>
      <c r="AC1195">
        <v>5.31</v>
      </c>
      <c r="AE1195" t="s">
        <v>346</v>
      </c>
      <c r="AF1195">
        <v>46.142674</v>
      </c>
      <c r="AG1195">
        <v>-115.598088</v>
      </c>
      <c r="AH1195">
        <v>15750214</v>
      </c>
      <c r="AI1195">
        <f>17-68057</f>
        <v>-68040</v>
      </c>
    </row>
    <row r="1196" spans="2:35">
      <c r="B1196" t="s">
        <v>345</v>
      </c>
      <c r="C1196" t="s">
        <v>1295</v>
      </c>
      <c r="D1196" s="3">
        <v>42840.290277777778</v>
      </c>
      <c r="F1196">
        <v>2017</v>
      </c>
      <c r="G1196" t="s">
        <v>578</v>
      </c>
      <c r="H1196" t="s">
        <v>352</v>
      </c>
      <c r="J1196">
        <v>0</v>
      </c>
      <c r="L1196">
        <v>1</v>
      </c>
      <c r="M1196">
        <v>161</v>
      </c>
      <c r="N1196">
        <v>36</v>
      </c>
      <c r="O1196" t="s">
        <v>575</v>
      </c>
      <c r="Q1196" t="s">
        <v>1298</v>
      </c>
      <c r="R1196" t="s">
        <v>1297</v>
      </c>
      <c r="U1196">
        <v>4.5</v>
      </c>
      <c r="V1196">
        <v>4.5</v>
      </c>
      <c r="W1196" t="s">
        <v>350</v>
      </c>
      <c r="X1196" t="s">
        <v>349</v>
      </c>
      <c r="Y1196" t="s">
        <v>348</v>
      </c>
      <c r="Z1196">
        <v>2017</v>
      </c>
      <c r="AB1196">
        <v>14</v>
      </c>
      <c r="AC1196">
        <v>5.31</v>
      </c>
      <c r="AE1196" t="s">
        <v>346</v>
      </c>
      <c r="AF1196">
        <v>46.142674</v>
      </c>
      <c r="AG1196">
        <v>-115.598088</v>
      </c>
      <c r="AH1196">
        <v>15750215</v>
      </c>
      <c r="AI1196">
        <f>17-68063</f>
        <v>-68046</v>
      </c>
    </row>
    <row r="1197" spans="2:35">
      <c r="B1197" t="s">
        <v>345</v>
      </c>
      <c r="C1197" t="s">
        <v>1295</v>
      </c>
      <c r="D1197" s="3">
        <v>42840.290277777778</v>
      </c>
      <c r="F1197">
        <v>2017</v>
      </c>
      <c r="G1197" t="s">
        <v>574</v>
      </c>
      <c r="H1197" t="s">
        <v>352</v>
      </c>
      <c r="J1197">
        <v>0</v>
      </c>
      <c r="L1197">
        <v>1</v>
      </c>
      <c r="M1197">
        <v>112</v>
      </c>
      <c r="N1197">
        <v>15</v>
      </c>
      <c r="O1197" t="s">
        <v>575</v>
      </c>
      <c r="Q1197" t="s">
        <v>576</v>
      </c>
      <c r="R1197" t="s">
        <v>1297</v>
      </c>
      <c r="U1197">
        <v>4.5</v>
      </c>
      <c r="V1197">
        <v>4.5</v>
      </c>
      <c r="W1197" t="s">
        <v>350</v>
      </c>
      <c r="X1197" t="s">
        <v>349</v>
      </c>
      <c r="Y1197" t="s">
        <v>348</v>
      </c>
      <c r="Z1197">
        <v>2017</v>
      </c>
      <c r="AB1197">
        <v>14</v>
      </c>
      <c r="AC1197">
        <v>5.31</v>
      </c>
      <c r="AE1197" t="s">
        <v>346</v>
      </c>
      <c r="AF1197">
        <v>46.142674</v>
      </c>
      <c r="AG1197">
        <v>-115.598088</v>
      </c>
      <c r="AH1197">
        <v>15750216</v>
      </c>
    </row>
    <row r="1198" spans="2:35">
      <c r="B1198" t="s">
        <v>345</v>
      </c>
      <c r="C1198" t="s">
        <v>1295</v>
      </c>
      <c r="D1198" s="3">
        <v>42840.290277777778</v>
      </c>
      <c r="F1198">
        <v>2017</v>
      </c>
      <c r="G1198" t="s">
        <v>578</v>
      </c>
      <c r="H1198" t="s">
        <v>352</v>
      </c>
      <c r="J1198">
        <v>0</v>
      </c>
      <c r="L1198">
        <v>1</v>
      </c>
      <c r="M1198">
        <v>166</v>
      </c>
      <c r="N1198">
        <v>46</v>
      </c>
      <c r="O1198" t="s">
        <v>575</v>
      </c>
      <c r="Q1198" t="s">
        <v>1299</v>
      </c>
      <c r="R1198" t="s">
        <v>1297</v>
      </c>
      <c r="U1198">
        <v>4.5</v>
      </c>
      <c r="V1198">
        <v>4.5</v>
      </c>
      <c r="W1198" t="s">
        <v>350</v>
      </c>
      <c r="X1198" t="s">
        <v>349</v>
      </c>
      <c r="Y1198" t="s">
        <v>348</v>
      </c>
      <c r="Z1198">
        <v>2017</v>
      </c>
      <c r="AB1198">
        <v>14</v>
      </c>
      <c r="AC1198">
        <v>5.31</v>
      </c>
      <c r="AE1198" t="s">
        <v>346</v>
      </c>
      <c r="AF1198">
        <v>46.142674</v>
      </c>
      <c r="AG1198">
        <v>-115.598088</v>
      </c>
      <c r="AH1198">
        <v>15750217</v>
      </c>
      <c r="AI1198">
        <f>17-68059</f>
        <v>-68042</v>
      </c>
    </row>
    <row r="1199" spans="2:35">
      <c r="B1199" t="s">
        <v>345</v>
      </c>
      <c r="C1199" t="s">
        <v>1176</v>
      </c>
      <c r="D1199" s="3">
        <v>42817.334027777775</v>
      </c>
      <c r="F1199">
        <v>2017</v>
      </c>
      <c r="G1199" t="s">
        <v>574</v>
      </c>
      <c r="H1199" t="s">
        <v>352</v>
      </c>
      <c r="J1199">
        <v>0</v>
      </c>
      <c r="L1199">
        <v>1</v>
      </c>
      <c r="M1199">
        <v>73</v>
      </c>
      <c r="N1199">
        <v>4</v>
      </c>
      <c r="O1199" t="s">
        <v>575</v>
      </c>
      <c r="Q1199" t="s">
        <v>576</v>
      </c>
      <c r="U1199">
        <v>5</v>
      </c>
      <c r="V1199">
        <v>5</v>
      </c>
      <c r="W1199" t="s">
        <v>350</v>
      </c>
      <c r="X1199" t="s">
        <v>349</v>
      </c>
      <c r="Y1199" t="s">
        <v>580</v>
      </c>
      <c r="Z1199">
        <v>2017</v>
      </c>
      <c r="AB1199">
        <v>12</v>
      </c>
      <c r="AC1199">
        <v>7.2</v>
      </c>
      <c r="AE1199" t="s">
        <v>346</v>
      </c>
      <c r="AF1199">
        <v>46.142674</v>
      </c>
      <c r="AG1199">
        <v>-115.598088</v>
      </c>
      <c r="AH1199">
        <v>15514190</v>
      </c>
    </row>
    <row r="1200" spans="2:35">
      <c r="B1200" t="s">
        <v>345</v>
      </c>
      <c r="C1200" t="s">
        <v>1176</v>
      </c>
      <c r="D1200" s="3">
        <v>42817.334027777775</v>
      </c>
      <c r="F1200">
        <v>2017</v>
      </c>
      <c r="G1200" t="s">
        <v>574</v>
      </c>
      <c r="H1200" t="s">
        <v>352</v>
      </c>
      <c r="J1200">
        <v>0</v>
      </c>
      <c r="L1200">
        <v>1</v>
      </c>
      <c r="M1200">
        <v>87</v>
      </c>
      <c r="N1200">
        <v>7</v>
      </c>
      <c r="O1200" t="s">
        <v>575</v>
      </c>
      <c r="Q1200" t="s">
        <v>576</v>
      </c>
      <c r="U1200">
        <v>5</v>
      </c>
      <c r="V1200">
        <v>5</v>
      </c>
      <c r="W1200" t="s">
        <v>350</v>
      </c>
      <c r="X1200" t="s">
        <v>349</v>
      </c>
      <c r="Y1200" t="s">
        <v>580</v>
      </c>
      <c r="Z1200">
        <v>2017</v>
      </c>
      <c r="AB1200">
        <v>12</v>
      </c>
      <c r="AC1200">
        <v>7.2</v>
      </c>
      <c r="AE1200" t="s">
        <v>346</v>
      </c>
      <c r="AF1200">
        <v>46.142674</v>
      </c>
      <c r="AG1200">
        <v>-115.598088</v>
      </c>
      <c r="AH1200">
        <v>15514191</v>
      </c>
    </row>
    <row r="1201" spans="2:35">
      <c r="B1201" t="s">
        <v>345</v>
      </c>
      <c r="C1201" t="s">
        <v>1300</v>
      </c>
      <c r="D1201" s="3">
        <v>42992.430555555555</v>
      </c>
      <c r="F1201">
        <v>2017</v>
      </c>
      <c r="G1201" t="s">
        <v>605</v>
      </c>
      <c r="H1201" t="s">
        <v>352</v>
      </c>
      <c r="J1201">
        <v>0</v>
      </c>
      <c r="L1201">
        <v>55</v>
      </c>
      <c r="M1201">
        <v>0</v>
      </c>
      <c r="N1201">
        <v>0</v>
      </c>
      <c r="O1201" t="s">
        <v>606</v>
      </c>
      <c r="R1201" t="s">
        <v>1301</v>
      </c>
      <c r="U1201">
        <v>25</v>
      </c>
      <c r="V1201">
        <v>25</v>
      </c>
      <c r="W1201" t="s">
        <v>350</v>
      </c>
      <c r="X1201" t="s">
        <v>349</v>
      </c>
      <c r="Y1201" t="s">
        <v>642</v>
      </c>
      <c r="Z1201">
        <v>2017</v>
      </c>
      <c r="AB1201">
        <v>3</v>
      </c>
      <c r="AC1201">
        <v>1.7</v>
      </c>
      <c r="AE1201" t="s">
        <v>346</v>
      </c>
      <c r="AF1201">
        <v>46.142674</v>
      </c>
      <c r="AG1201">
        <v>-115.598088</v>
      </c>
      <c r="AH1201">
        <v>15566997</v>
      </c>
    </row>
    <row r="1202" spans="2:35">
      <c r="B1202" t="s">
        <v>345</v>
      </c>
      <c r="C1202" t="s">
        <v>1300</v>
      </c>
      <c r="D1202" s="3">
        <v>42992.430555555555</v>
      </c>
      <c r="F1202">
        <v>2017</v>
      </c>
      <c r="G1202" t="s">
        <v>574</v>
      </c>
      <c r="H1202" t="s">
        <v>352</v>
      </c>
      <c r="J1202">
        <v>0</v>
      </c>
      <c r="L1202">
        <v>1</v>
      </c>
      <c r="M1202">
        <v>0</v>
      </c>
      <c r="N1202">
        <v>0</v>
      </c>
      <c r="O1202" t="s">
        <v>773</v>
      </c>
      <c r="R1202" t="s">
        <v>1301</v>
      </c>
      <c r="U1202">
        <v>25</v>
      </c>
      <c r="V1202">
        <v>25</v>
      </c>
      <c r="W1202" t="s">
        <v>350</v>
      </c>
      <c r="X1202" t="s">
        <v>349</v>
      </c>
      <c r="Y1202" t="s">
        <v>642</v>
      </c>
      <c r="Z1202">
        <v>2017</v>
      </c>
      <c r="AB1202">
        <v>3</v>
      </c>
      <c r="AC1202">
        <v>1.7</v>
      </c>
      <c r="AE1202" t="s">
        <v>346</v>
      </c>
      <c r="AF1202">
        <v>46.142674</v>
      </c>
      <c r="AG1202">
        <v>-115.598088</v>
      </c>
      <c r="AH1202">
        <v>15566998</v>
      </c>
    </row>
    <row r="1203" spans="2:35">
      <c r="B1203" t="s">
        <v>345</v>
      </c>
      <c r="C1203" t="s">
        <v>1300</v>
      </c>
      <c r="D1203" s="3">
        <v>42992.430555555555</v>
      </c>
      <c r="F1203">
        <v>2017</v>
      </c>
      <c r="G1203" t="s">
        <v>482</v>
      </c>
      <c r="H1203" t="s">
        <v>352</v>
      </c>
      <c r="J1203">
        <v>0</v>
      </c>
      <c r="L1203">
        <v>1</v>
      </c>
      <c r="M1203">
        <v>0</v>
      </c>
      <c r="N1203">
        <v>0</v>
      </c>
      <c r="O1203" t="s">
        <v>643</v>
      </c>
      <c r="R1203" t="s">
        <v>1301</v>
      </c>
      <c r="U1203">
        <v>25</v>
      </c>
      <c r="V1203">
        <v>25</v>
      </c>
      <c r="W1203" t="s">
        <v>350</v>
      </c>
      <c r="X1203" t="s">
        <v>349</v>
      </c>
      <c r="Y1203" t="s">
        <v>642</v>
      </c>
      <c r="Z1203">
        <v>2017</v>
      </c>
      <c r="AB1203">
        <v>3</v>
      </c>
      <c r="AC1203">
        <v>1.7</v>
      </c>
      <c r="AE1203" t="s">
        <v>346</v>
      </c>
      <c r="AF1203">
        <v>46.142674</v>
      </c>
      <c r="AG1203">
        <v>-115.598088</v>
      </c>
      <c r="AH1203">
        <v>15566999</v>
      </c>
    </row>
    <row r="1204" spans="2:35">
      <c r="B1204" t="s">
        <v>345</v>
      </c>
      <c r="C1204" t="s">
        <v>1302</v>
      </c>
      <c r="D1204" s="3">
        <v>42894.28402777778</v>
      </c>
      <c r="F1204">
        <v>2017</v>
      </c>
      <c r="G1204" t="s">
        <v>578</v>
      </c>
      <c r="H1204" t="s">
        <v>352</v>
      </c>
      <c r="J1204">
        <v>0</v>
      </c>
      <c r="L1204">
        <v>1</v>
      </c>
      <c r="M1204">
        <v>115</v>
      </c>
      <c r="N1204">
        <v>17</v>
      </c>
      <c r="O1204" t="s">
        <v>575</v>
      </c>
      <c r="Q1204" t="s">
        <v>1303</v>
      </c>
      <c r="R1204" t="s">
        <v>608</v>
      </c>
      <c r="U1204">
        <v>11.5</v>
      </c>
      <c r="V1204">
        <v>10.5</v>
      </c>
      <c r="W1204" t="s">
        <v>350</v>
      </c>
      <c r="X1204" t="s">
        <v>349</v>
      </c>
      <c r="Y1204" t="s">
        <v>348</v>
      </c>
      <c r="Z1204">
        <v>2017</v>
      </c>
      <c r="AB1204">
        <v>14</v>
      </c>
      <c r="AC1204">
        <v>7.45</v>
      </c>
      <c r="AE1204" t="s">
        <v>346</v>
      </c>
      <c r="AF1204">
        <v>46.142674</v>
      </c>
      <c r="AG1204">
        <v>-115.598088</v>
      </c>
      <c r="AH1204">
        <v>15624434</v>
      </c>
      <c r="AI1204">
        <f>17-76540</f>
        <v>-76523</v>
      </c>
    </row>
    <row r="1205" spans="2:35">
      <c r="B1205" t="s">
        <v>345</v>
      </c>
      <c r="C1205" t="s">
        <v>1302</v>
      </c>
      <c r="D1205" s="3">
        <v>42894.28402777778</v>
      </c>
      <c r="F1205">
        <v>2017</v>
      </c>
      <c r="G1205" t="s">
        <v>611</v>
      </c>
      <c r="H1205" t="s">
        <v>352</v>
      </c>
      <c r="J1205">
        <v>0</v>
      </c>
      <c r="L1205">
        <v>1</v>
      </c>
      <c r="M1205">
        <v>87</v>
      </c>
      <c r="N1205">
        <v>10</v>
      </c>
      <c r="O1205" t="s">
        <v>353</v>
      </c>
      <c r="R1205" t="s">
        <v>608</v>
      </c>
      <c r="U1205">
        <v>11.5</v>
      </c>
      <c r="V1205">
        <v>10.5</v>
      </c>
      <c r="W1205" t="s">
        <v>350</v>
      </c>
      <c r="X1205" t="s">
        <v>349</v>
      </c>
      <c r="Y1205" t="s">
        <v>348</v>
      </c>
      <c r="Z1205">
        <v>2017</v>
      </c>
      <c r="AB1205">
        <v>14</v>
      </c>
      <c r="AC1205">
        <v>7.45</v>
      </c>
      <c r="AE1205" t="s">
        <v>346</v>
      </c>
      <c r="AF1205">
        <v>46.142674</v>
      </c>
      <c r="AG1205">
        <v>-115.598088</v>
      </c>
      <c r="AH1205">
        <v>15624435</v>
      </c>
    </row>
    <row r="1206" spans="2:35">
      <c r="B1206" t="s">
        <v>345</v>
      </c>
      <c r="C1206" t="s">
        <v>1302</v>
      </c>
      <c r="D1206" s="3">
        <v>42894.28402777778</v>
      </c>
      <c r="F1206">
        <v>2017</v>
      </c>
      <c r="G1206" t="s">
        <v>605</v>
      </c>
      <c r="H1206" t="s">
        <v>352</v>
      </c>
      <c r="J1206">
        <v>0</v>
      </c>
      <c r="L1206">
        <v>1</v>
      </c>
      <c r="M1206">
        <v>60</v>
      </c>
      <c r="N1206">
        <v>2</v>
      </c>
      <c r="O1206" t="s">
        <v>353</v>
      </c>
      <c r="R1206" t="s">
        <v>608</v>
      </c>
      <c r="U1206">
        <v>11.5</v>
      </c>
      <c r="V1206">
        <v>10.5</v>
      </c>
      <c r="W1206" t="s">
        <v>350</v>
      </c>
      <c r="X1206" t="s">
        <v>349</v>
      </c>
      <c r="Y1206" t="s">
        <v>348</v>
      </c>
      <c r="Z1206">
        <v>2017</v>
      </c>
      <c r="AB1206">
        <v>14</v>
      </c>
      <c r="AC1206">
        <v>7.45</v>
      </c>
      <c r="AE1206" t="s">
        <v>346</v>
      </c>
      <c r="AF1206">
        <v>46.142674</v>
      </c>
      <c r="AG1206">
        <v>-115.598088</v>
      </c>
      <c r="AH1206">
        <v>15624436</v>
      </c>
    </row>
    <row r="1207" spans="2:35">
      <c r="B1207" t="s">
        <v>345</v>
      </c>
      <c r="C1207" t="s">
        <v>1304</v>
      </c>
      <c r="D1207" s="3">
        <v>42933.341666666667</v>
      </c>
      <c r="F1207">
        <v>2017</v>
      </c>
      <c r="G1207" t="s">
        <v>480</v>
      </c>
      <c r="H1207" t="s">
        <v>352</v>
      </c>
      <c r="J1207">
        <v>0</v>
      </c>
      <c r="L1207">
        <v>2</v>
      </c>
      <c r="O1207" t="s">
        <v>643</v>
      </c>
      <c r="R1207" t="s">
        <v>1305</v>
      </c>
      <c r="U1207">
        <v>25</v>
      </c>
      <c r="V1207">
        <v>25</v>
      </c>
      <c r="W1207" t="s">
        <v>350</v>
      </c>
      <c r="X1207" t="s">
        <v>349</v>
      </c>
      <c r="Y1207" t="s">
        <v>697</v>
      </c>
      <c r="Z1207">
        <v>2017</v>
      </c>
      <c r="AB1207">
        <v>11</v>
      </c>
      <c r="AC1207">
        <v>2.72</v>
      </c>
      <c r="AE1207" t="s">
        <v>346</v>
      </c>
      <c r="AF1207">
        <v>46.142674</v>
      </c>
      <c r="AG1207">
        <v>-115.598088</v>
      </c>
      <c r="AH1207">
        <v>15625010</v>
      </c>
    </row>
    <row r="1208" spans="2:35">
      <c r="B1208" t="s">
        <v>345</v>
      </c>
      <c r="C1208" t="s">
        <v>1304</v>
      </c>
      <c r="D1208" s="3">
        <v>42933.341666666667</v>
      </c>
      <c r="F1208">
        <v>2017</v>
      </c>
      <c r="G1208" t="s">
        <v>605</v>
      </c>
      <c r="H1208" t="s">
        <v>352</v>
      </c>
      <c r="J1208">
        <v>0</v>
      </c>
      <c r="L1208">
        <v>6</v>
      </c>
      <c r="O1208" t="s">
        <v>643</v>
      </c>
      <c r="R1208" t="s">
        <v>1305</v>
      </c>
      <c r="U1208">
        <v>25</v>
      </c>
      <c r="V1208">
        <v>25</v>
      </c>
      <c r="W1208" t="s">
        <v>350</v>
      </c>
      <c r="X1208" t="s">
        <v>349</v>
      </c>
      <c r="Y1208" t="s">
        <v>697</v>
      </c>
      <c r="Z1208">
        <v>2017</v>
      </c>
      <c r="AB1208">
        <v>11</v>
      </c>
      <c r="AC1208">
        <v>2.72</v>
      </c>
      <c r="AE1208" t="s">
        <v>346</v>
      </c>
      <c r="AF1208">
        <v>46.142674</v>
      </c>
      <c r="AG1208">
        <v>-115.598088</v>
      </c>
      <c r="AH1208">
        <v>15625011</v>
      </c>
    </row>
    <row r="1209" spans="2:35">
      <c r="B1209" t="s">
        <v>345</v>
      </c>
      <c r="C1209" t="s">
        <v>1304</v>
      </c>
      <c r="D1209" s="3">
        <v>42933.341666666667</v>
      </c>
      <c r="F1209">
        <v>2017</v>
      </c>
      <c r="G1209" t="s">
        <v>636</v>
      </c>
      <c r="H1209" t="s">
        <v>352</v>
      </c>
      <c r="J1209">
        <v>0</v>
      </c>
      <c r="L1209">
        <v>2</v>
      </c>
      <c r="O1209" t="s">
        <v>643</v>
      </c>
      <c r="R1209" t="s">
        <v>1305</v>
      </c>
      <c r="U1209">
        <v>25</v>
      </c>
      <c r="V1209">
        <v>25</v>
      </c>
      <c r="W1209" t="s">
        <v>350</v>
      </c>
      <c r="X1209" t="s">
        <v>349</v>
      </c>
      <c r="Y1209" t="s">
        <v>697</v>
      </c>
      <c r="Z1209">
        <v>2017</v>
      </c>
      <c r="AB1209">
        <v>11</v>
      </c>
      <c r="AC1209">
        <v>2.72</v>
      </c>
      <c r="AE1209" t="s">
        <v>346</v>
      </c>
      <c r="AF1209">
        <v>46.142674</v>
      </c>
      <c r="AG1209">
        <v>-115.598088</v>
      </c>
      <c r="AH1209">
        <v>15625012</v>
      </c>
    </row>
    <row r="1210" spans="2:35">
      <c r="B1210" t="s">
        <v>345</v>
      </c>
      <c r="C1210" t="s">
        <v>1304</v>
      </c>
      <c r="D1210" s="3">
        <v>42933.341666666667</v>
      </c>
      <c r="F1210">
        <v>2017</v>
      </c>
      <c r="G1210" t="s">
        <v>615</v>
      </c>
      <c r="H1210" t="s">
        <v>352</v>
      </c>
      <c r="J1210">
        <v>0</v>
      </c>
      <c r="L1210">
        <v>1</v>
      </c>
      <c r="O1210" t="s">
        <v>643</v>
      </c>
      <c r="R1210" t="s">
        <v>1305</v>
      </c>
      <c r="U1210">
        <v>25</v>
      </c>
      <c r="V1210">
        <v>25</v>
      </c>
      <c r="W1210" t="s">
        <v>350</v>
      </c>
      <c r="X1210" t="s">
        <v>349</v>
      </c>
      <c r="Y1210" t="s">
        <v>697</v>
      </c>
      <c r="Z1210">
        <v>2017</v>
      </c>
      <c r="AB1210">
        <v>11</v>
      </c>
      <c r="AC1210">
        <v>2.72</v>
      </c>
      <c r="AE1210" t="s">
        <v>346</v>
      </c>
      <c r="AF1210">
        <v>46.142674</v>
      </c>
      <c r="AG1210">
        <v>-115.598088</v>
      </c>
      <c r="AH1210">
        <v>15625013</v>
      </c>
    </row>
    <row r="1211" spans="2:35">
      <c r="B1211" t="s">
        <v>345</v>
      </c>
      <c r="C1211" t="s">
        <v>1304</v>
      </c>
      <c r="D1211" s="3">
        <v>42933.341666666667</v>
      </c>
      <c r="F1211">
        <v>2017</v>
      </c>
      <c r="G1211" t="s">
        <v>602</v>
      </c>
      <c r="H1211" t="s">
        <v>352</v>
      </c>
      <c r="J1211">
        <v>0</v>
      </c>
      <c r="L1211">
        <v>6</v>
      </c>
      <c r="O1211" t="s">
        <v>643</v>
      </c>
      <c r="R1211" t="s">
        <v>1305</v>
      </c>
      <c r="U1211">
        <v>25</v>
      </c>
      <c r="V1211">
        <v>25</v>
      </c>
      <c r="W1211" t="s">
        <v>350</v>
      </c>
      <c r="X1211" t="s">
        <v>349</v>
      </c>
      <c r="Y1211" t="s">
        <v>697</v>
      </c>
      <c r="Z1211">
        <v>2017</v>
      </c>
      <c r="AB1211">
        <v>11</v>
      </c>
      <c r="AC1211">
        <v>2.72</v>
      </c>
      <c r="AE1211" t="s">
        <v>346</v>
      </c>
      <c r="AF1211">
        <v>46.142674</v>
      </c>
      <c r="AG1211">
        <v>-115.598088</v>
      </c>
      <c r="AH1211">
        <v>15625014</v>
      </c>
    </row>
    <row r="1212" spans="2:35">
      <c r="B1212" t="s">
        <v>345</v>
      </c>
      <c r="C1212" t="s">
        <v>1304</v>
      </c>
      <c r="D1212" s="3">
        <v>42933.341666666667</v>
      </c>
      <c r="F1212">
        <v>2017</v>
      </c>
      <c r="G1212" t="s">
        <v>611</v>
      </c>
      <c r="H1212" t="s">
        <v>352</v>
      </c>
      <c r="J1212">
        <v>0</v>
      </c>
      <c r="L1212">
        <v>3</v>
      </c>
      <c r="O1212" t="s">
        <v>643</v>
      </c>
      <c r="R1212" t="s">
        <v>1305</v>
      </c>
      <c r="U1212">
        <v>25</v>
      </c>
      <c r="V1212">
        <v>25</v>
      </c>
      <c r="W1212" t="s">
        <v>350</v>
      </c>
      <c r="X1212" t="s">
        <v>349</v>
      </c>
      <c r="Y1212" t="s">
        <v>697</v>
      </c>
      <c r="Z1212">
        <v>2017</v>
      </c>
      <c r="AB1212">
        <v>11</v>
      </c>
      <c r="AC1212">
        <v>2.72</v>
      </c>
      <c r="AE1212" t="s">
        <v>346</v>
      </c>
      <c r="AF1212">
        <v>46.142674</v>
      </c>
      <c r="AG1212">
        <v>-115.598088</v>
      </c>
      <c r="AH1212">
        <v>15625015</v>
      </c>
    </row>
    <row r="1213" spans="2:35">
      <c r="B1213" t="s">
        <v>345</v>
      </c>
      <c r="C1213" t="s">
        <v>1306</v>
      </c>
      <c r="D1213" s="3">
        <v>42923.352083333331</v>
      </c>
      <c r="F1213">
        <v>2017</v>
      </c>
      <c r="G1213" t="s">
        <v>578</v>
      </c>
      <c r="H1213" t="s">
        <v>352</v>
      </c>
      <c r="J1213">
        <v>0</v>
      </c>
      <c r="L1213">
        <v>1</v>
      </c>
      <c r="M1213">
        <v>0</v>
      </c>
      <c r="N1213">
        <v>0</v>
      </c>
      <c r="O1213" t="s">
        <v>773</v>
      </c>
      <c r="U1213">
        <v>25</v>
      </c>
      <c r="V1213">
        <v>18</v>
      </c>
      <c r="W1213" t="s">
        <v>350</v>
      </c>
      <c r="X1213" t="s">
        <v>349</v>
      </c>
      <c r="Y1213" t="s">
        <v>642</v>
      </c>
      <c r="Z1213">
        <v>2017</v>
      </c>
      <c r="AB1213">
        <v>12</v>
      </c>
      <c r="AC1213">
        <v>3.3</v>
      </c>
      <c r="AE1213" t="s">
        <v>346</v>
      </c>
      <c r="AF1213">
        <v>46.142674</v>
      </c>
      <c r="AG1213">
        <v>-115.598088</v>
      </c>
      <c r="AH1213">
        <v>15726145</v>
      </c>
    </row>
    <row r="1214" spans="2:35">
      <c r="B1214" t="s">
        <v>345</v>
      </c>
      <c r="C1214" t="s">
        <v>1306</v>
      </c>
      <c r="D1214" s="3">
        <v>42923.352083333331</v>
      </c>
      <c r="F1214">
        <v>2017</v>
      </c>
      <c r="G1214" t="s">
        <v>611</v>
      </c>
      <c r="H1214" t="s">
        <v>352</v>
      </c>
      <c r="J1214">
        <v>0</v>
      </c>
      <c r="L1214">
        <v>9</v>
      </c>
      <c r="M1214">
        <v>0</v>
      </c>
      <c r="N1214">
        <v>0</v>
      </c>
      <c r="O1214" t="s">
        <v>643</v>
      </c>
      <c r="U1214">
        <v>25</v>
      </c>
      <c r="V1214">
        <v>18</v>
      </c>
      <c r="W1214" t="s">
        <v>350</v>
      </c>
      <c r="X1214" t="s">
        <v>349</v>
      </c>
      <c r="Y1214" t="s">
        <v>642</v>
      </c>
      <c r="Z1214">
        <v>2017</v>
      </c>
      <c r="AB1214">
        <v>12</v>
      </c>
      <c r="AC1214">
        <v>3.3</v>
      </c>
      <c r="AE1214" t="s">
        <v>346</v>
      </c>
      <c r="AF1214">
        <v>46.142674</v>
      </c>
      <c r="AG1214">
        <v>-115.598088</v>
      </c>
      <c r="AH1214">
        <v>15726146</v>
      </c>
    </row>
    <row r="1215" spans="2:35">
      <c r="B1215" t="s">
        <v>345</v>
      </c>
      <c r="C1215" t="s">
        <v>1306</v>
      </c>
      <c r="D1215" s="3">
        <v>42923.352083333331</v>
      </c>
      <c r="F1215">
        <v>2017</v>
      </c>
      <c r="G1215" t="s">
        <v>578</v>
      </c>
      <c r="H1215" t="s">
        <v>352</v>
      </c>
      <c r="J1215">
        <v>0</v>
      </c>
      <c r="L1215">
        <v>1</v>
      </c>
      <c r="M1215">
        <v>0</v>
      </c>
      <c r="N1215">
        <v>0</v>
      </c>
      <c r="O1215" t="s">
        <v>606</v>
      </c>
      <c r="U1215">
        <v>25</v>
      </c>
      <c r="V1215">
        <v>18</v>
      </c>
      <c r="W1215" t="s">
        <v>350</v>
      </c>
      <c r="X1215" t="s">
        <v>349</v>
      </c>
      <c r="Y1215" t="s">
        <v>642</v>
      </c>
      <c r="Z1215">
        <v>2017</v>
      </c>
      <c r="AB1215">
        <v>12</v>
      </c>
      <c r="AC1215">
        <v>3.3</v>
      </c>
      <c r="AE1215" t="s">
        <v>346</v>
      </c>
      <c r="AF1215">
        <v>46.142674</v>
      </c>
      <c r="AG1215">
        <v>-115.598088</v>
      </c>
      <c r="AH1215">
        <v>15726147</v>
      </c>
    </row>
    <row r="1216" spans="2:35">
      <c r="B1216" t="s">
        <v>345</v>
      </c>
      <c r="C1216" t="s">
        <v>1306</v>
      </c>
      <c r="D1216" s="3">
        <v>42923.352083333331</v>
      </c>
      <c r="F1216">
        <v>2017</v>
      </c>
      <c r="G1216" t="s">
        <v>743</v>
      </c>
      <c r="H1216" t="s">
        <v>352</v>
      </c>
      <c r="J1216">
        <v>0</v>
      </c>
      <c r="L1216">
        <v>6</v>
      </c>
      <c r="M1216">
        <v>0</v>
      </c>
      <c r="N1216">
        <v>0</v>
      </c>
      <c r="O1216" t="s">
        <v>353</v>
      </c>
      <c r="U1216">
        <v>25</v>
      </c>
      <c r="V1216">
        <v>18</v>
      </c>
      <c r="W1216" t="s">
        <v>350</v>
      </c>
      <c r="X1216" t="s">
        <v>349</v>
      </c>
      <c r="Y1216" t="s">
        <v>642</v>
      </c>
      <c r="Z1216">
        <v>2017</v>
      </c>
      <c r="AB1216">
        <v>12</v>
      </c>
      <c r="AC1216">
        <v>3.3</v>
      </c>
      <c r="AE1216" t="s">
        <v>346</v>
      </c>
      <c r="AF1216">
        <v>46.142674</v>
      </c>
      <c r="AG1216">
        <v>-115.598088</v>
      </c>
      <c r="AH1216">
        <v>15726148</v>
      </c>
    </row>
    <row r="1217" spans="2:35">
      <c r="B1217" t="s">
        <v>345</v>
      </c>
      <c r="C1217" t="s">
        <v>1307</v>
      </c>
      <c r="D1217" s="3">
        <v>42838.320138888892</v>
      </c>
      <c r="F1217">
        <v>2017</v>
      </c>
      <c r="G1217" t="s">
        <v>578</v>
      </c>
      <c r="H1217" t="s">
        <v>352</v>
      </c>
      <c r="J1217">
        <v>0</v>
      </c>
      <c r="L1217">
        <v>1</v>
      </c>
      <c r="M1217">
        <v>195</v>
      </c>
      <c r="N1217">
        <v>58</v>
      </c>
      <c r="O1217" t="s">
        <v>575</v>
      </c>
      <c r="Q1217" t="s">
        <v>1308</v>
      </c>
      <c r="R1217" t="s">
        <v>608</v>
      </c>
      <c r="U1217">
        <v>6</v>
      </c>
      <c r="V1217">
        <v>6</v>
      </c>
      <c r="W1217" t="s">
        <v>350</v>
      </c>
      <c r="X1217" t="s">
        <v>349</v>
      </c>
      <c r="Y1217" t="s">
        <v>348</v>
      </c>
      <c r="Z1217">
        <v>2017</v>
      </c>
      <c r="AB1217">
        <v>14</v>
      </c>
      <c r="AC1217">
        <v>5.3</v>
      </c>
      <c r="AE1217" t="s">
        <v>346</v>
      </c>
      <c r="AF1217">
        <v>46.142674</v>
      </c>
      <c r="AG1217">
        <v>-115.598088</v>
      </c>
      <c r="AH1217">
        <v>15771555</v>
      </c>
      <c r="AI1217">
        <f>17-68041</f>
        <v>-68024</v>
      </c>
    </row>
    <row r="1218" spans="2:35">
      <c r="B1218" t="s">
        <v>345</v>
      </c>
      <c r="C1218" t="s">
        <v>1309</v>
      </c>
      <c r="D1218" s="3">
        <v>42916.354166666664</v>
      </c>
      <c r="F1218">
        <v>2017</v>
      </c>
      <c r="G1218" t="s">
        <v>611</v>
      </c>
      <c r="H1218" t="s">
        <v>352</v>
      </c>
      <c r="J1218">
        <v>0</v>
      </c>
      <c r="L1218">
        <v>1</v>
      </c>
      <c r="M1218">
        <v>80</v>
      </c>
      <c r="N1218">
        <v>6</v>
      </c>
      <c r="O1218" t="s">
        <v>353</v>
      </c>
      <c r="R1218" t="s">
        <v>1310</v>
      </c>
      <c r="U1218">
        <v>15</v>
      </c>
      <c r="V1218">
        <v>15</v>
      </c>
      <c r="W1218" t="s">
        <v>350</v>
      </c>
      <c r="X1218" t="s">
        <v>349</v>
      </c>
      <c r="Y1218" t="s">
        <v>348</v>
      </c>
      <c r="Z1218">
        <v>2017</v>
      </c>
      <c r="AB1218">
        <v>10</v>
      </c>
      <c r="AC1218">
        <v>4.01</v>
      </c>
      <c r="AE1218" t="s">
        <v>346</v>
      </c>
      <c r="AF1218">
        <v>46.142674</v>
      </c>
      <c r="AG1218">
        <v>-115.598088</v>
      </c>
      <c r="AH1218">
        <v>15779157</v>
      </c>
    </row>
    <row r="1219" spans="2:35">
      <c r="B1219" t="s">
        <v>345</v>
      </c>
      <c r="C1219" t="s">
        <v>1309</v>
      </c>
      <c r="D1219" s="3">
        <v>42916.354166666664</v>
      </c>
      <c r="F1219">
        <v>2017</v>
      </c>
      <c r="G1219" t="s">
        <v>611</v>
      </c>
      <c r="H1219" t="s">
        <v>352</v>
      </c>
      <c r="J1219">
        <v>0</v>
      </c>
      <c r="L1219">
        <v>1</v>
      </c>
      <c r="M1219">
        <v>75</v>
      </c>
      <c r="N1219">
        <v>5</v>
      </c>
      <c r="O1219" t="s">
        <v>353</v>
      </c>
      <c r="R1219" t="s">
        <v>1310</v>
      </c>
      <c r="U1219">
        <v>15</v>
      </c>
      <c r="V1219">
        <v>15</v>
      </c>
      <c r="W1219" t="s">
        <v>350</v>
      </c>
      <c r="X1219" t="s">
        <v>349</v>
      </c>
      <c r="Y1219" t="s">
        <v>348</v>
      </c>
      <c r="Z1219">
        <v>2017</v>
      </c>
      <c r="AB1219">
        <v>10</v>
      </c>
      <c r="AC1219">
        <v>4.01</v>
      </c>
      <c r="AE1219" t="s">
        <v>346</v>
      </c>
      <c r="AF1219">
        <v>46.142674</v>
      </c>
      <c r="AG1219">
        <v>-115.598088</v>
      </c>
      <c r="AH1219">
        <v>15779158</v>
      </c>
    </row>
    <row r="1220" spans="2:35">
      <c r="B1220" t="s">
        <v>345</v>
      </c>
      <c r="C1220" t="s">
        <v>1309</v>
      </c>
      <c r="D1220" s="3">
        <v>42916.354166666664</v>
      </c>
      <c r="F1220">
        <v>2017</v>
      </c>
      <c r="G1220" t="s">
        <v>611</v>
      </c>
      <c r="H1220" t="s">
        <v>352</v>
      </c>
      <c r="J1220">
        <v>0</v>
      </c>
      <c r="L1220">
        <v>1</v>
      </c>
      <c r="M1220">
        <v>82</v>
      </c>
      <c r="N1220">
        <v>8</v>
      </c>
      <c r="O1220" t="s">
        <v>353</v>
      </c>
      <c r="R1220" t="s">
        <v>1310</v>
      </c>
      <c r="U1220">
        <v>15</v>
      </c>
      <c r="V1220">
        <v>15</v>
      </c>
      <c r="W1220" t="s">
        <v>350</v>
      </c>
      <c r="X1220" t="s">
        <v>349</v>
      </c>
      <c r="Y1220" t="s">
        <v>348</v>
      </c>
      <c r="Z1220">
        <v>2017</v>
      </c>
      <c r="AB1220">
        <v>10</v>
      </c>
      <c r="AC1220">
        <v>4.01</v>
      </c>
      <c r="AE1220" t="s">
        <v>346</v>
      </c>
      <c r="AF1220">
        <v>46.142674</v>
      </c>
      <c r="AG1220">
        <v>-115.598088</v>
      </c>
      <c r="AH1220">
        <v>15779159</v>
      </c>
    </row>
    <row r="1221" spans="2:35">
      <c r="B1221" t="s">
        <v>345</v>
      </c>
      <c r="C1221" t="s">
        <v>1309</v>
      </c>
      <c r="D1221" s="3">
        <v>42916.354166666664</v>
      </c>
      <c r="F1221">
        <v>2017</v>
      </c>
      <c r="G1221" t="s">
        <v>611</v>
      </c>
      <c r="H1221" t="s">
        <v>352</v>
      </c>
      <c r="J1221">
        <v>0</v>
      </c>
      <c r="L1221">
        <v>1</v>
      </c>
      <c r="M1221">
        <v>85</v>
      </c>
      <c r="N1221">
        <v>7</v>
      </c>
      <c r="O1221" t="s">
        <v>353</v>
      </c>
      <c r="R1221" t="s">
        <v>1310</v>
      </c>
      <c r="U1221">
        <v>15</v>
      </c>
      <c r="V1221">
        <v>15</v>
      </c>
      <c r="W1221" t="s">
        <v>350</v>
      </c>
      <c r="X1221" t="s">
        <v>349</v>
      </c>
      <c r="Y1221" t="s">
        <v>348</v>
      </c>
      <c r="Z1221">
        <v>2017</v>
      </c>
      <c r="AB1221">
        <v>10</v>
      </c>
      <c r="AC1221">
        <v>4.01</v>
      </c>
      <c r="AE1221" t="s">
        <v>346</v>
      </c>
      <c r="AF1221">
        <v>46.142674</v>
      </c>
      <c r="AG1221">
        <v>-115.598088</v>
      </c>
      <c r="AH1221">
        <v>15779160</v>
      </c>
    </row>
    <row r="1222" spans="2:35">
      <c r="B1222" t="s">
        <v>345</v>
      </c>
      <c r="C1222" t="s">
        <v>1309</v>
      </c>
      <c r="D1222" s="3">
        <v>42916.354166666664</v>
      </c>
      <c r="F1222">
        <v>2017</v>
      </c>
      <c r="G1222" t="s">
        <v>611</v>
      </c>
      <c r="H1222" t="s">
        <v>352</v>
      </c>
      <c r="J1222">
        <v>0</v>
      </c>
      <c r="L1222">
        <v>1</v>
      </c>
      <c r="M1222">
        <v>77</v>
      </c>
      <c r="N1222">
        <v>5</v>
      </c>
      <c r="O1222" t="s">
        <v>353</v>
      </c>
      <c r="R1222" t="s">
        <v>1310</v>
      </c>
      <c r="U1222">
        <v>15</v>
      </c>
      <c r="V1222">
        <v>15</v>
      </c>
      <c r="W1222" t="s">
        <v>350</v>
      </c>
      <c r="X1222" t="s">
        <v>349</v>
      </c>
      <c r="Y1222" t="s">
        <v>348</v>
      </c>
      <c r="Z1222">
        <v>2017</v>
      </c>
      <c r="AB1222">
        <v>10</v>
      </c>
      <c r="AC1222">
        <v>4.01</v>
      </c>
      <c r="AE1222" t="s">
        <v>346</v>
      </c>
      <c r="AF1222">
        <v>46.142674</v>
      </c>
      <c r="AG1222">
        <v>-115.598088</v>
      </c>
      <c r="AH1222">
        <v>15779161</v>
      </c>
    </row>
    <row r="1223" spans="2:35">
      <c r="B1223" t="s">
        <v>345</v>
      </c>
      <c r="C1223" t="s">
        <v>1309</v>
      </c>
      <c r="D1223" s="3">
        <v>42916.354166666664</v>
      </c>
      <c r="F1223">
        <v>2017</v>
      </c>
      <c r="G1223" t="s">
        <v>610</v>
      </c>
      <c r="H1223" t="s">
        <v>352</v>
      </c>
      <c r="J1223">
        <v>0</v>
      </c>
      <c r="L1223">
        <v>1</v>
      </c>
      <c r="M1223">
        <v>39</v>
      </c>
      <c r="N1223">
        <v>0</v>
      </c>
      <c r="O1223" t="s">
        <v>353</v>
      </c>
      <c r="R1223" t="s">
        <v>1310</v>
      </c>
      <c r="U1223">
        <v>15</v>
      </c>
      <c r="V1223">
        <v>15</v>
      </c>
      <c r="W1223" t="s">
        <v>350</v>
      </c>
      <c r="X1223" t="s">
        <v>349</v>
      </c>
      <c r="Y1223" t="s">
        <v>348</v>
      </c>
      <c r="Z1223">
        <v>2017</v>
      </c>
      <c r="AB1223">
        <v>10</v>
      </c>
      <c r="AC1223">
        <v>4.01</v>
      </c>
      <c r="AE1223" t="s">
        <v>346</v>
      </c>
      <c r="AF1223">
        <v>46.142674</v>
      </c>
      <c r="AG1223">
        <v>-115.598088</v>
      </c>
      <c r="AH1223">
        <v>15779162</v>
      </c>
    </row>
    <row r="1224" spans="2:35">
      <c r="B1224" t="s">
        <v>345</v>
      </c>
      <c r="C1224" t="s">
        <v>1309</v>
      </c>
      <c r="D1224" s="3">
        <v>42916.354166666664</v>
      </c>
      <c r="F1224">
        <v>2017</v>
      </c>
      <c r="G1224" t="s">
        <v>611</v>
      </c>
      <c r="H1224" t="s">
        <v>352</v>
      </c>
      <c r="J1224">
        <v>0</v>
      </c>
      <c r="L1224">
        <v>1</v>
      </c>
      <c r="M1224">
        <v>99</v>
      </c>
      <c r="N1224">
        <v>12</v>
      </c>
      <c r="O1224" t="s">
        <v>353</v>
      </c>
      <c r="R1224" t="s">
        <v>1310</v>
      </c>
      <c r="U1224">
        <v>15</v>
      </c>
      <c r="V1224">
        <v>15</v>
      </c>
      <c r="W1224" t="s">
        <v>350</v>
      </c>
      <c r="X1224" t="s">
        <v>349</v>
      </c>
      <c r="Y1224" t="s">
        <v>348</v>
      </c>
      <c r="Z1224">
        <v>2017</v>
      </c>
      <c r="AB1224">
        <v>10</v>
      </c>
      <c r="AC1224">
        <v>4.01</v>
      </c>
      <c r="AE1224" t="s">
        <v>346</v>
      </c>
      <c r="AF1224">
        <v>46.142674</v>
      </c>
      <c r="AG1224">
        <v>-115.598088</v>
      </c>
      <c r="AH1224">
        <v>15779163</v>
      </c>
    </row>
    <row r="1225" spans="2:35">
      <c r="B1225" t="s">
        <v>345</v>
      </c>
      <c r="C1225" t="s">
        <v>1309</v>
      </c>
      <c r="D1225" s="3">
        <v>42916.354166666664</v>
      </c>
      <c r="F1225">
        <v>2017</v>
      </c>
      <c r="G1225" t="s">
        <v>743</v>
      </c>
      <c r="H1225" t="s">
        <v>352</v>
      </c>
      <c r="J1225">
        <v>0</v>
      </c>
      <c r="L1225">
        <v>1</v>
      </c>
      <c r="M1225">
        <v>65</v>
      </c>
      <c r="N1225">
        <v>4</v>
      </c>
      <c r="O1225" t="s">
        <v>353</v>
      </c>
      <c r="R1225" t="s">
        <v>1310</v>
      </c>
      <c r="U1225">
        <v>15</v>
      </c>
      <c r="V1225">
        <v>15</v>
      </c>
      <c r="W1225" t="s">
        <v>350</v>
      </c>
      <c r="X1225" t="s">
        <v>349</v>
      </c>
      <c r="Y1225" t="s">
        <v>348</v>
      </c>
      <c r="Z1225">
        <v>2017</v>
      </c>
      <c r="AB1225">
        <v>10</v>
      </c>
      <c r="AC1225">
        <v>4.01</v>
      </c>
      <c r="AE1225" t="s">
        <v>346</v>
      </c>
      <c r="AF1225">
        <v>46.142674</v>
      </c>
      <c r="AG1225">
        <v>-115.598088</v>
      </c>
      <c r="AH1225">
        <v>15779164</v>
      </c>
    </row>
    <row r="1226" spans="2:35">
      <c r="B1226" t="s">
        <v>345</v>
      </c>
      <c r="C1226" t="s">
        <v>1309</v>
      </c>
      <c r="D1226" s="3">
        <v>42916.354166666664</v>
      </c>
      <c r="F1226">
        <v>2017</v>
      </c>
      <c r="G1226" t="s">
        <v>743</v>
      </c>
      <c r="H1226" t="s">
        <v>352</v>
      </c>
      <c r="J1226">
        <v>0</v>
      </c>
      <c r="L1226">
        <v>1</v>
      </c>
      <c r="M1226">
        <v>80</v>
      </c>
      <c r="N1226">
        <v>6</v>
      </c>
      <c r="O1226" t="s">
        <v>353</v>
      </c>
      <c r="R1226" t="s">
        <v>1310</v>
      </c>
      <c r="U1226">
        <v>15</v>
      </c>
      <c r="V1226">
        <v>15</v>
      </c>
      <c r="W1226" t="s">
        <v>350</v>
      </c>
      <c r="X1226" t="s">
        <v>349</v>
      </c>
      <c r="Y1226" t="s">
        <v>348</v>
      </c>
      <c r="Z1226">
        <v>2017</v>
      </c>
      <c r="AB1226">
        <v>10</v>
      </c>
      <c r="AC1226">
        <v>4.01</v>
      </c>
      <c r="AE1226" t="s">
        <v>346</v>
      </c>
      <c r="AF1226">
        <v>46.142674</v>
      </c>
      <c r="AG1226">
        <v>-115.598088</v>
      </c>
      <c r="AH1226">
        <v>15779165</v>
      </c>
    </row>
    <row r="1227" spans="2:35">
      <c r="B1227" t="s">
        <v>345</v>
      </c>
      <c r="C1227" t="s">
        <v>1309</v>
      </c>
      <c r="D1227" s="3">
        <v>42916.354166666664</v>
      </c>
      <c r="F1227">
        <v>2017</v>
      </c>
      <c r="G1227" t="s">
        <v>605</v>
      </c>
      <c r="H1227" t="s">
        <v>352</v>
      </c>
      <c r="J1227">
        <v>0</v>
      </c>
      <c r="L1227">
        <v>1</v>
      </c>
      <c r="M1227">
        <v>91</v>
      </c>
      <c r="N1227">
        <v>10</v>
      </c>
      <c r="O1227" t="s">
        <v>353</v>
      </c>
      <c r="R1227" t="s">
        <v>1310</v>
      </c>
      <c r="U1227">
        <v>15</v>
      </c>
      <c r="V1227">
        <v>15</v>
      </c>
      <c r="W1227" t="s">
        <v>350</v>
      </c>
      <c r="X1227" t="s">
        <v>349</v>
      </c>
      <c r="Y1227" t="s">
        <v>348</v>
      </c>
      <c r="Z1227">
        <v>2017</v>
      </c>
      <c r="AB1227">
        <v>10</v>
      </c>
      <c r="AC1227">
        <v>4.01</v>
      </c>
      <c r="AE1227" t="s">
        <v>346</v>
      </c>
      <c r="AF1227">
        <v>46.142674</v>
      </c>
      <c r="AG1227">
        <v>-115.598088</v>
      </c>
      <c r="AH1227">
        <v>15779166</v>
      </c>
    </row>
    <row r="1228" spans="2:35">
      <c r="B1228" t="s">
        <v>345</v>
      </c>
      <c r="C1228" t="s">
        <v>1309</v>
      </c>
      <c r="D1228" s="3">
        <v>42916.354166666664</v>
      </c>
      <c r="F1228">
        <v>2017</v>
      </c>
      <c r="G1228" t="s">
        <v>743</v>
      </c>
      <c r="H1228" t="s">
        <v>352</v>
      </c>
      <c r="J1228">
        <v>0</v>
      </c>
      <c r="L1228">
        <v>1</v>
      </c>
      <c r="M1228">
        <v>82</v>
      </c>
      <c r="N1228">
        <v>8</v>
      </c>
      <c r="O1228" t="s">
        <v>353</v>
      </c>
      <c r="R1228" t="s">
        <v>1310</v>
      </c>
      <c r="U1228">
        <v>15</v>
      </c>
      <c r="V1228">
        <v>15</v>
      </c>
      <c r="W1228" t="s">
        <v>350</v>
      </c>
      <c r="X1228" t="s">
        <v>349</v>
      </c>
      <c r="Y1228" t="s">
        <v>348</v>
      </c>
      <c r="Z1228">
        <v>2017</v>
      </c>
      <c r="AB1228">
        <v>10</v>
      </c>
      <c r="AC1228">
        <v>4.01</v>
      </c>
      <c r="AE1228" t="s">
        <v>346</v>
      </c>
      <c r="AF1228">
        <v>46.142674</v>
      </c>
      <c r="AG1228">
        <v>-115.598088</v>
      </c>
      <c r="AH1228">
        <v>15779167</v>
      </c>
    </row>
    <row r="1229" spans="2:35">
      <c r="B1229" t="s">
        <v>345</v>
      </c>
      <c r="C1229" t="s">
        <v>1309</v>
      </c>
      <c r="D1229" s="3">
        <v>42916.354166666664</v>
      </c>
      <c r="F1229">
        <v>2017</v>
      </c>
      <c r="G1229" t="s">
        <v>611</v>
      </c>
      <c r="H1229" t="s">
        <v>352</v>
      </c>
      <c r="J1229">
        <v>0</v>
      </c>
      <c r="L1229">
        <v>1</v>
      </c>
      <c r="M1229">
        <v>110</v>
      </c>
      <c r="N1229">
        <v>16</v>
      </c>
      <c r="O1229" t="s">
        <v>353</v>
      </c>
      <c r="R1229" t="s">
        <v>1310</v>
      </c>
      <c r="U1229">
        <v>15</v>
      </c>
      <c r="V1229">
        <v>15</v>
      </c>
      <c r="W1229" t="s">
        <v>350</v>
      </c>
      <c r="X1229" t="s">
        <v>349</v>
      </c>
      <c r="Y1229" t="s">
        <v>348</v>
      </c>
      <c r="Z1229">
        <v>2017</v>
      </c>
      <c r="AB1229">
        <v>10</v>
      </c>
      <c r="AC1229">
        <v>4.01</v>
      </c>
      <c r="AE1229" t="s">
        <v>346</v>
      </c>
      <c r="AF1229">
        <v>46.142674</v>
      </c>
      <c r="AG1229">
        <v>-115.598088</v>
      </c>
      <c r="AH1229">
        <v>15779168</v>
      </c>
    </row>
    <row r="1230" spans="2:35">
      <c r="B1230" t="s">
        <v>345</v>
      </c>
      <c r="C1230" t="s">
        <v>1309</v>
      </c>
      <c r="D1230" s="3">
        <v>42916.354166666664</v>
      </c>
      <c r="F1230">
        <v>2017</v>
      </c>
      <c r="G1230" t="s">
        <v>611</v>
      </c>
      <c r="H1230" t="s">
        <v>352</v>
      </c>
      <c r="J1230">
        <v>0</v>
      </c>
      <c r="L1230">
        <v>1</v>
      </c>
      <c r="M1230">
        <v>82</v>
      </c>
      <c r="N1230">
        <v>7</v>
      </c>
      <c r="O1230" t="s">
        <v>353</v>
      </c>
      <c r="R1230" t="s">
        <v>1310</v>
      </c>
      <c r="U1230">
        <v>15</v>
      </c>
      <c r="V1230">
        <v>15</v>
      </c>
      <c r="W1230" t="s">
        <v>350</v>
      </c>
      <c r="X1230" t="s">
        <v>349</v>
      </c>
      <c r="Y1230" t="s">
        <v>348</v>
      </c>
      <c r="Z1230">
        <v>2017</v>
      </c>
      <c r="AB1230">
        <v>10</v>
      </c>
      <c r="AC1230">
        <v>4.01</v>
      </c>
      <c r="AE1230" t="s">
        <v>346</v>
      </c>
      <c r="AF1230">
        <v>46.142674</v>
      </c>
      <c r="AG1230">
        <v>-115.598088</v>
      </c>
      <c r="AH1230">
        <v>15779169</v>
      </c>
    </row>
    <row r="1231" spans="2:35">
      <c r="B1231" t="s">
        <v>345</v>
      </c>
      <c r="C1231" t="s">
        <v>1309</v>
      </c>
      <c r="D1231" s="3">
        <v>42916.354166666664</v>
      </c>
      <c r="F1231">
        <v>2017</v>
      </c>
      <c r="G1231" t="s">
        <v>743</v>
      </c>
      <c r="H1231" t="s">
        <v>352</v>
      </c>
      <c r="J1231">
        <v>0</v>
      </c>
      <c r="L1231">
        <v>1</v>
      </c>
      <c r="M1231">
        <v>64</v>
      </c>
      <c r="N1231">
        <v>4</v>
      </c>
      <c r="O1231" t="s">
        <v>353</v>
      </c>
      <c r="R1231" t="s">
        <v>1310</v>
      </c>
      <c r="U1231">
        <v>15</v>
      </c>
      <c r="V1231">
        <v>15</v>
      </c>
      <c r="W1231" t="s">
        <v>350</v>
      </c>
      <c r="X1231" t="s">
        <v>349</v>
      </c>
      <c r="Y1231" t="s">
        <v>348</v>
      </c>
      <c r="Z1231">
        <v>2017</v>
      </c>
      <c r="AB1231">
        <v>10</v>
      </c>
      <c r="AC1231">
        <v>4.01</v>
      </c>
      <c r="AE1231" t="s">
        <v>346</v>
      </c>
      <c r="AF1231">
        <v>46.142674</v>
      </c>
      <c r="AG1231">
        <v>-115.598088</v>
      </c>
      <c r="AH1231">
        <v>15779170</v>
      </c>
    </row>
    <row r="1232" spans="2:35">
      <c r="B1232" t="s">
        <v>345</v>
      </c>
      <c r="C1232" t="s">
        <v>1295</v>
      </c>
      <c r="D1232" s="3">
        <v>42840.290277777778</v>
      </c>
      <c r="F1232">
        <v>2017</v>
      </c>
      <c r="G1232" t="s">
        <v>578</v>
      </c>
      <c r="H1232" t="s">
        <v>352</v>
      </c>
      <c r="J1232">
        <v>0</v>
      </c>
      <c r="L1232">
        <v>1</v>
      </c>
      <c r="M1232">
        <v>149</v>
      </c>
      <c r="N1232">
        <v>31</v>
      </c>
      <c r="O1232" t="s">
        <v>575</v>
      </c>
      <c r="Q1232" t="s">
        <v>1311</v>
      </c>
      <c r="R1232" t="s">
        <v>1297</v>
      </c>
      <c r="U1232">
        <v>4.5</v>
      </c>
      <c r="V1232">
        <v>4.5</v>
      </c>
      <c r="W1232" t="s">
        <v>350</v>
      </c>
      <c r="X1232" t="s">
        <v>349</v>
      </c>
      <c r="Y1232" t="s">
        <v>348</v>
      </c>
      <c r="Z1232">
        <v>2017</v>
      </c>
      <c r="AB1232">
        <v>14</v>
      </c>
      <c r="AC1232">
        <v>5.31</v>
      </c>
      <c r="AE1232" t="s">
        <v>346</v>
      </c>
      <c r="AF1232">
        <v>46.142674</v>
      </c>
      <c r="AG1232">
        <v>-115.598088</v>
      </c>
      <c r="AH1232">
        <v>15750218</v>
      </c>
      <c r="AI1232">
        <f>17-68060</f>
        <v>-68043</v>
      </c>
    </row>
    <row r="1233" spans="2:35">
      <c r="B1233" t="s">
        <v>345</v>
      </c>
      <c r="C1233" t="s">
        <v>1295</v>
      </c>
      <c r="D1233" s="3">
        <v>42840.290277777778</v>
      </c>
      <c r="F1233">
        <v>2017</v>
      </c>
      <c r="G1233" t="s">
        <v>578</v>
      </c>
      <c r="H1233" t="s">
        <v>352</v>
      </c>
      <c r="J1233">
        <v>0</v>
      </c>
      <c r="L1233">
        <v>1</v>
      </c>
      <c r="M1233">
        <v>156</v>
      </c>
      <c r="N1233">
        <v>33</v>
      </c>
      <c r="O1233" t="s">
        <v>575</v>
      </c>
      <c r="P1233" t="s">
        <v>1312</v>
      </c>
      <c r="Q1233" t="s">
        <v>1313</v>
      </c>
      <c r="R1233" t="s">
        <v>1297</v>
      </c>
      <c r="U1233">
        <v>4.5</v>
      </c>
      <c r="V1233">
        <v>4.5</v>
      </c>
      <c r="W1233" t="s">
        <v>350</v>
      </c>
      <c r="X1233" t="s">
        <v>349</v>
      </c>
      <c r="Y1233" t="s">
        <v>348</v>
      </c>
      <c r="Z1233">
        <v>2017</v>
      </c>
      <c r="AB1233">
        <v>14</v>
      </c>
      <c r="AC1233">
        <v>5.31</v>
      </c>
      <c r="AE1233" t="s">
        <v>346</v>
      </c>
      <c r="AF1233">
        <v>46.142674</v>
      </c>
      <c r="AG1233">
        <v>-115.598088</v>
      </c>
      <c r="AH1233">
        <v>15750219</v>
      </c>
      <c r="AI1233">
        <f>17-68061</f>
        <v>-68044</v>
      </c>
    </row>
    <row r="1234" spans="2:35">
      <c r="B1234" t="s">
        <v>345</v>
      </c>
      <c r="C1234" t="s">
        <v>1295</v>
      </c>
      <c r="D1234" s="3">
        <v>42840.290277777778</v>
      </c>
      <c r="F1234">
        <v>2017</v>
      </c>
      <c r="G1234" t="s">
        <v>578</v>
      </c>
      <c r="H1234" t="s">
        <v>352</v>
      </c>
      <c r="J1234">
        <v>0</v>
      </c>
      <c r="L1234">
        <v>1</v>
      </c>
      <c r="M1234">
        <v>156</v>
      </c>
      <c r="N1234">
        <v>33</v>
      </c>
      <c r="O1234" t="s">
        <v>575</v>
      </c>
      <c r="Q1234" t="s">
        <v>1314</v>
      </c>
      <c r="R1234" t="s">
        <v>1297</v>
      </c>
      <c r="U1234">
        <v>4.5</v>
      </c>
      <c r="V1234">
        <v>4.5</v>
      </c>
      <c r="W1234" t="s">
        <v>350</v>
      </c>
      <c r="X1234" t="s">
        <v>349</v>
      </c>
      <c r="Y1234" t="s">
        <v>348</v>
      </c>
      <c r="Z1234">
        <v>2017</v>
      </c>
      <c r="AB1234">
        <v>14</v>
      </c>
      <c r="AC1234">
        <v>5.31</v>
      </c>
      <c r="AE1234" t="s">
        <v>346</v>
      </c>
      <c r="AF1234">
        <v>46.142674</v>
      </c>
      <c r="AG1234">
        <v>-115.598088</v>
      </c>
      <c r="AH1234">
        <v>15750220</v>
      </c>
      <c r="AI1234">
        <f>17-68064</f>
        <v>-68047</v>
      </c>
    </row>
    <row r="1235" spans="2:35">
      <c r="B1235" t="s">
        <v>345</v>
      </c>
      <c r="C1235" t="s">
        <v>1295</v>
      </c>
      <c r="D1235" s="3">
        <v>42840.290277777778</v>
      </c>
      <c r="F1235">
        <v>2017</v>
      </c>
      <c r="G1235" t="s">
        <v>578</v>
      </c>
      <c r="H1235" t="s">
        <v>352</v>
      </c>
      <c r="J1235">
        <v>0</v>
      </c>
      <c r="L1235">
        <v>1</v>
      </c>
      <c r="M1235">
        <v>163</v>
      </c>
      <c r="N1235">
        <v>42</v>
      </c>
      <c r="O1235" t="s">
        <v>575</v>
      </c>
      <c r="Q1235" t="s">
        <v>1315</v>
      </c>
      <c r="R1235" t="s">
        <v>1297</v>
      </c>
      <c r="U1235">
        <v>4.5</v>
      </c>
      <c r="V1235">
        <v>4.5</v>
      </c>
      <c r="W1235" t="s">
        <v>350</v>
      </c>
      <c r="X1235" t="s">
        <v>349</v>
      </c>
      <c r="Y1235" t="s">
        <v>348</v>
      </c>
      <c r="Z1235">
        <v>2017</v>
      </c>
      <c r="AB1235">
        <v>14</v>
      </c>
      <c r="AC1235">
        <v>5.31</v>
      </c>
      <c r="AE1235" t="s">
        <v>346</v>
      </c>
      <c r="AF1235">
        <v>46.142674</v>
      </c>
      <c r="AG1235">
        <v>-115.598088</v>
      </c>
      <c r="AH1235">
        <v>15750221</v>
      </c>
      <c r="AI1235">
        <f>17-68058</f>
        <v>-68041</v>
      </c>
    </row>
    <row r="1236" spans="2:35">
      <c r="B1236" t="s">
        <v>345</v>
      </c>
      <c r="C1236" t="s">
        <v>1295</v>
      </c>
      <c r="D1236" s="3">
        <v>42840.290277777778</v>
      </c>
      <c r="F1236">
        <v>2017</v>
      </c>
      <c r="G1236" t="s">
        <v>574</v>
      </c>
      <c r="H1236" t="s">
        <v>352</v>
      </c>
      <c r="J1236">
        <v>0</v>
      </c>
      <c r="L1236">
        <v>1</v>
      </c>
      <c r="M1236">
        <v>77</v>
      </c>
      <c r="N1236">
        <v>6</v>
      </c>
      <c r="O1236" t="s">
        <v>575</v>
      </c>
      <c r="Q1236" t="s">
        <v>576</v>
      </c>
      <c r="R1236" t="s">
        <v>1297</v>
      </c>
      <c r="U1236">
        <v>4.5</v>
      </c>
      <c r="V1236">
        <v>4.5</v>
      </c>
      <c r="W1236" t="s">
        <v>350</v>
      </c>
      <c r="X1236" t="s">
        <v>349</v>
      </c>
      <c r="Y1236" t="s">
        <v>348</v>
      </c>
      <c r="Z1236">
        <v>2017</v>
      </c>
      <c r="AB1236">
        <v>14</v>
      </c>
      <c r="AC1236">
        <v>5.31</v>
      </c>
      <c r="AE1236" t="s">
        <v>346</v>
      </c>
      <c r="AF1236">
        <v>46.142674</v>
      </c>
      <c r="AG1236">
        <v>-115.598088</v>
      </c>
      <c r="AH1236">
        <v>15750222</v>
      </c>
    </row>
    <row r="1237" spans="2:35">
      <c r="B1237" t="s">
        <v>345</v>
      </c>
      <c r="C1237" t="s">
        <v>1295</v>
      </c>
      <c r="D1237" s="3">
        <v>42840.290277777778</v>
      </c>
      <c r="F1237">
        <v>2017</v>
      </c>
      <c r="G1237" t="s">
        <v>578</v>
      </c>
      <c r="H1237" t="s">
        <v>352</v>
      </c>
      <c r="J1237">
        <v>0</v>
      </c>
      <c r="L1237">
        <v>1</v>
      </c>
      <c r="M1237">
        <v>195</v>
      </c>
      <c r="N1237">
        <v>61</v>
      </c>
      <c r="O1237" t="s">
        <v>575</v>
      </c>
      <c r="Q1237" t="s">
        <v>1316</v>
      </c>
      <c r="R1237" t="s">
        <v>1297</v>
      </c>
      <c r="U1237">
        <v>4.5</v>
      </c>
      <c r="V1237">
        <v>4.5</v>
      </c>
      <c r="W1237" t="s">
        <v>350</v>
      </c>
      <c r="X1237" t="s">
        <v>349</v>
      </c>
      <c r="Y1237" t="s">
        <v>348</v>
      </c>
      <c r="Z1237">
        <v>2017</v>
      </c>
      <c r="AB1237">
        <v>14</v>
      </c>
      <c r="AC1237">
        <v>5.31</v>
      </c>
      <c r="AE1237" t="s">
        <v>346</v>
      </c>
      <c r="AF1237">
        <v>46.142674</v>
      </c>
      <c r="AG1237">
        <v>-115.598088</v>
      </c>
      <c r="AH1237">
        <v>15750223</v>
      </c>
      <c r="AI1237">
        <f>17-68054</f>
        <v>-68037</v>
      </c>
    </row>
    <row r="1238" spans="2:35">
      <c r="B1238" t="s">
        <v>345</v>
      </c>
      <c r="C1238" t="s">
        <v>1295</v>
      </c>
      <c r="D1238" s="3">
        <v>42840.290277777778</v>
      </c>
      <c r="F1238">
        <v>2017</v>
      </c>
      <c r="G1238" t="s">
        <v>578</v>
      </c>
      <c r="H1238" t="s">
        <v>352</v>
      </c>
      <c r="J1238">
        <v>0</v>
      </c>
      <c r="L1238">
        <v>1</v>
      </c>
      <c r="M1238">
        <v>165</v>
      </c>
      <c r="N1238">
        <v>50</v>
      </c>
      <c r="O1238" t="s">
        <v>575</v>
      </c>
      <c r="Q1238" t="s">
        <v>1317</v>
      </c>
      <c r="R1238" t="s">
        <v>1297</v>
      </c>
      <c r="U1238">
        <v>4.5</v>
      </c>
      <c r="V1238">
        <v>4.5</v>
      </c>
      <c r="W1238" t="s">
        <v>350</v>
      </c>
      <c r="X1238" t="s">
        <v>349</v>
      </c>
      <c r="Y1238" t="s">
        <v>348</v>
      </c>
      <c r="Z1238">
        <v>2017</v>
      </c>
      <c r="AB1238">
        <v>14</v>
      </c>
      <c r="AC1238">
        <v>5.31</v>
      </c>
      <c r="AE1238" t="s">
        <v>346</v>
      </c>
      <c r="AF1238">
        <v>46.142674</v>
      </c>
      <c r="AG1238">
        <v>-115.598088</v>
      </c>
      <c r="AH1238">
        <v>15750224</v>
      </c>
      <c r="AI1238">
        <f>17-68055</f>
        <v>-68038</v>
      </c>
    </row>
    <row r="1239" spans="2:35">
      <c r="B1239" t="s">
        <v>345</v>
      </c>
      <c r="C1239" t="s">
        <v>1295</v>
      </c>
      <c r="D1239" s="3">
        <v>42840.290277777778</v>
      </c>
      <c r="F1239">
        <v>2017</v>
      </c>
      <c r="G1239" t="s">
        <v>578</v>
      </c>
      <c r="H1239" t="s">
        <v>352</v>
      </c>
      <c r="J1239">
        <v>0</v>
      </c>
      <c r="L1239">
        <v>1</v>
      </c>
      <c r="M1239">
        <v>187</v>
      </c>
      <c r="N1239">
        <v>58</v>
      </c>
      <c r="O1239" t="s">
        <v>575</v>
      </c>
      <c r="Q1239" t="s">
        <v>1318</v>
      </c>
      <c r="R1239" t="s">
        <v>1297</v>
      </c>
      <c r="U1239">
        <v>4.5</v>
      </c>
      <c r="V1239">
        <v>4.5</v>
      </c>
      <c r="W1239" t="s">
        <v>350</v>
      </c>
      <c r="X1239" t="s">
        <v>349</v>
      </c>
      <c r="Y1239" t="s">
        <v>348</v>
      </c>
      <c r="Z1239">
        <v>2017</v>
      </c>
      <c r="AB1239">
        <v>14</v>
      </c>
      <c r="AC1239">
        <v>5.31</v>
      </c>
      <c r="AE1239" t="s">
        <v>346</v>
      </c>
      <c r="AF1239">
        <v>46.142674</v>
      </c>
      <c r="AG1239">
        <v>-115.598088</v>
      </c>
      <c r="AH1239">
        <v>15750225</v>
      </c>
      <c r="AI1239">
        <f>17-68062</f>
        <v>-68045</v>
      </c>
    </row>
    <row r="1240" spans="2:35">
      <c r="B1240" t="s">
        <v>345</v>
      </c>
      <c r="C1240" t="s">
        <v>1295</v>
      </c>
      <c r="D1240" s="3">
        <v>42840.290277777778</v>
      </c>
      <c r="F1240">
        <v>2017</v>
      </c>
      <c r="G1240" t="s">
        <v>574</v>
      </c>
      <c r="H1240" t="s">
        <v>352</v>
      </c>
      <c r="J1240">
        <v>0</v>
      </c>
      <c r="L1240">
        <v>1</v>
      </c>
      <c r="M1240">
        <v>112</v>
      </c>
      <c r="N1240">
        <v>16</v>
      </c>
      <c r="O1240" t="s">
        <v>575</v>
      </c>
      <c r="Q1240" t="s">
        <v>576</v>
      </c>
      <c r="R1240" t="s">
        <v>1297</v>
      </c>
      <c r="U1240">
        <v>4.5</v>
      </c>
      <c r="V1240">
        <v>4.5</v>
      </c>
      <c r="W1240" t="s">
        <v>350</v>
      </c>
      <c r="X1240" t="s">
        <v>349</v>
      </c>
      <c r="Y1240" t="s">
        <v>348</v>
      </c>
      <c r="Z1240">
        <v>2017</v>
      </c>
      <c r="AB1240">
        <v>14</v>
      </c>
      <c r="AC1240">
        <v>5.31</v>
      </c>
      <c r="AE1240" t="s">
        <v>346</v>
      </c>
      <c r="AF1240">
        <v>46.142674</v>
      </c>
      <c r="AG1240">
        <v>-115.598088</v>
      </c>
      <c r="AH1240">
        <v>15750226</v>
      </c>
    </row>
    <row r="1241" spans="2:35">
      <c r="B1241" t="s">
        <v>345</v>
      </c>
      <c r="C1241" t="s">
        <v>1295</v>
      </c>
      <c r="D1241" s="3">
        <v>42840.290277777778</v>
      </c>
      <c r="F1241">
        <v>2017</v>
      </c>
      <c r="G1241" t="s">
        <v>578</v>
      </c>
      <c r="H1241" t="s">
        <v>352</v>
      </c>
      <c r="J1241">
        <v>0</v>
      </c>
      <c r="L1241">
        <v>1</v>
      </c>
      <c r="M1241">
        <v>178</v>
      </c>
      <c r="N1241">
        <v>49</v>
      </c>
      <c r="O1241" t="s">
        <v>575</v>
      </c>
      <c r="Q1241" t="s">
        <v>1319</v>
      </c>
      <c r="R1241" t="s">
        <v>1297</v>
      </c>
      <c r="U1241">
        <v>4.5</v>
      </c>
      <c r="V1241">
        <v>4.5</v>
      </c>
      <c r="W1241" t="s">
        <v>350</v>
      </c>
      <c r="X1241" t="s">
        <v>349</v>
      </c>
      <c r="Y1241" t="s">
        <v>348</v>
      </c>
      <c r="Z1241">
        <v>2017</v>
      </c>
      <c r="AB1241">
        <v>14</v>
      </c>
      <c r="AC1241">
        <v>5.31</v>
      </c>
      <c r="AE1241" t="s">
        <v>346</v>
      </c>
      <c r="AF1241">
        <v>46.142674</v>
      </c>
      <c r="AG1241">
        <v>-115.598088</v>
      </c>
      <c r="AH1241">
        <v>15750227</v>
      </c>
      <c r="AI1241">
        <f>17-68056</f>
        <v>-68039</v>
      </c>
    </row>
    <row r="1242" spans="2:35">
      <c r="B1242" t="s">
        <v>345</v>
      </c>
      <c r="C1242" t="s">
        <v>1320</v>
      </c>
      <c r="D1242" s="3">
        <v>42995.520833333336</v>
      </c>
      <c r="F1242">
        <v>2017</v>
      </c>
      <c r="G1242" t="s">
        <v>604</v>
      </c>
      <c r="H1242" t="s">
        <v>352</v>
      </c>
      <c r="J1242">
        <v>0</v>
      </c>
      <c r="L1242">
        <v>1</v>
      </c>
      <c r="M1242">
        <v>450</v>
      </c>
      <c r="N1242">
        <v>0</v>
      </c>
      <c r="O1242" t="s">
        <v>353</v>
      </c>
      <c r="R1242" t="s">
        <v>966</v>
      </c>
      <c r="U1242">
        <v>15.5</v>
      </c>
      <c r="V1242">
        <v>15</v>
      </c>
      <c r="W1242" t="s">
        <v>350</v>
      </c>
      <c r="X1242" t="s">
        <v>349</v>
      </c>
      <c r="Y1242" t="s">
        <v>642</v>
      </c>
      <c r="Z1242">
        <v>2017</v>
      </c>
      <c r="AB1242">
        <v>6</v>
      </c>
      <c r="AC1242">
        <v>1.78</v>
      </c>
      <c r="AE1242" t="s">
        <v>346</v>
      </c>
      <c r="AF1242">
        <v>46.142674</v>
      </c>
      <c r="AG1242">
        <v>-115.598088</v>
      </c>
      <c r="AH1242">
        <v>15795369</v>
      </c>
    </row>
    <row r="1243" spans="2:35">
      <c r="B1243" t="s">
        <v>345</v>
      </c>
      <c r="C1243" t="s">
        <v>1320</v>
      </c>
      <c r="D1243" s="3">
        <v>42995.520833333336</v>
      </c>
      <c r="F1243">
        <v>2017</v>
      </c>
      <c r="G1243" t="s">
        <v>421</v>
      </c>
      <c r="H1243" t="s">
        <v>352</v>
      </c>
      <c r="J1243">
        <v>0</v>
      </c>
      <c r="L1243">
        <v>1</v>
      </c>
      <c r="M1243">
        <v>324</v>
      </c>
      <c r="N1243">
        <v>0</v>
      </c>
      <c r="O1243" t="s">
        <v>353</v>
      </c>
      <c r="R1243" t="s">
        <v>966</v>
      </c>
      <c r="U1243">
        <v>15.5</v>
      </c>
      <c r="V1243">
        <v>15</v>
      </c>
      <c r="W1243" t="s">
        <v>350</v>
      </c>
      <c r="X1243" t="s">
        <v>349</v>
      </c>
      <c r="Y1243" t="s">
        <v>642</v>
      </c>
      <c r="Z1243">
        <v>2017</v>
      </c>
      <c r="AB1243">
        <v>6</v>
      </c>
      <c r="AC1243">
        <v>1.78</v>
      </c>
      <c r="AE1243" t="s">
        <v>346</v>
      </c>
      <c r="AF1243">
        <v>46.142674</v>
      </c>
      <c r="AG1243">
        <v>-115.598088</v>
      </c>
      <c r="AH1243">
        <v>15795370</v>
      </c>
    </row>
    <row r="1244" spans="2:35">
      <c r="B1244" t="s">
        <v>345</v>
      </c>
      <c r="C1244" t="s">
        <v>1320</v>
      </c>
      <c r="D1244" s="3">
        <v>42995.520833333336</v>
      </c>
      <c r="F1244">
        <v>2017</v>
      </c>
      <c r="G1244" t="s">
        <v>604</v>
      </c>
      <c r="H1244" t="s">
        <v>352</v>
      </c>
      <c r="J1244">
        <v>0</v>
      </c>
      <c r="L1244">
        <v>1</v>
      </c>
      <c r="M1244">
        <v>200</v>
      </c>
      <c r="N1244">
        <v>98</v>
      </c>
      <c r="O1244" t="s">
        <v>353</v>
      </c>
      <c r="R1244" t="s">
        <v>966</v>
      </c>
      <c r="U1244">
        <v>15.5</v>
      </c>
      <c r="V1244">
        <v>15</v>
      </c>
      <c r="W1244" t="s">
        <v>350</v>
      </c>
      <c r="X1244" t="s">
        <v>349</v>
      </c>
      <c r="Y1244" t="s">
        <v>642</v>
      </c>
      <c r="Z1244">
        <v>2017</v>
      </c>
      <c r="AB1244">
        <v>6</v>
      </c>
      <c r="AC1244">
        <v>1.78</v>
      </c>
      <c r="AE1244" t="s">
        <v>346</v>
      </c>
      <c r="AF1244">
        <v>46.142674</v>
      </c>
      <c r="AG1244">
        <v>-115.598088</v>
      </c>
      <c r="AH1244">
        <v>15795371</v>
      </c>
    </row>
    <row r="1245" spans="2:35">
      <c r="B1245" t="s">
        <v>345</v>
      </c>
      <c r="C1245" t="s">
        <v>1307</v>
      </c>
      <c r="D1245" s="3">
        <v>42838.320138888892</v>
      </c>
      <c r="F1245">
        <v>2017</v>
      </c>
      <c r="G1245" t="s">
        <v>578</v>
      </c>
      <c r="H1245" t="s">
        <v>352</v>
      </c>
      <c r="J1245">
        <v>0</v>
      </c>
      <c r="L1245">
        <v>1</v>
      </c>
      <c r="M1245">
        <v>160</v>
      </c>
      <c r="N1245">
        <v>39</v>
      </c>
      <c r="O1245" t="s">
        <v>575</v>
      </c>
      <c r="Q1245" t="s">
        <v>1321</v>
      </c>
      <c r="R1245" t="s">
        <v>608</v>
      </c>
      <c r="U1245">
        <v>6</v>
      </c>
      <c r="V1245">
        <v>6</v>
      </c>
      <c r="W1245" t="s">
        <v>350</v>
      </c>
      <c r="X1245" t="s">
        <v>349</v>
      </c>
      <c r="Y1245" t="s">
        <v>348</v>
      </c>
      <c r="Z1245">
        <v>2017</v>
      </c>
      <c r="AB1245">
        <v>14</v>
      </c>
      <c r="AC1245">
        <v>5.3</v>
      </c>
      <c r="AE1245" t="s">
        <v>346</v>
      </c>
      <c r="AF1245">
        <v>46.142674</v>
      </c>
      <c r="AG1245">
        <v>-115.598088</v>
      </c>
      <c r="AH1245">
        <v>15771556</v>
      </c>
      <c r="AI1245">
        <f>17-68037</f>
        <v>-68020</v>
      </c>
    </row>
    <row r="1246" spans="2:35">
      <c r="B1246" t="s">
        <v>345</v>
      </c>
      <c r="C1246" t="s">
        <v>1307</v>
      </c>
      <c r="D1246" s="3">
        <v>42838.320138888892</v>
      </c>
      <c r="F1246">
        <v>2017</v>
      </c>
      <c r="G1246" t="s">
        <v>578</v>
      </c>
      <c r="H1246" t="s">
        <v>352</v>
      </c>
      <c r="J1246">
        <v>0</v>
      </c>
      <c r="L1246">
        <v>1</v>
      </c>
      <c r="M1246">
        <v>192</v>
      </c>
      <c r="N1246">
        <v>58</v>
      </c>
      <c r="O1246" t="s">
        <v>575</v>
      </c>
      <c r="Q1246" t="s">
        <v>1322</v>
      </c>
      <c r="R1246" t="s">
        <v>608</v>
      </c>
      <c r="U1246">
        <v>6</v>
      </c>
      <c r="V1246">
        <v>6</v>
      </c>
      <c r="W1246" t="s">
        <v>350</v>
      </c>
      <c r="X1246" t="s">
        <v>349</v>
      </c>
      <c r="Y1246" t="s">
        <v>348</v>
      </c>
      <c r="Z1246">
        <v>2017</v>
      </c>
      <c r="AB1246">
        <v>14</v>
      </c>
      <c r="AC1246">
        <v>5.3</v>
      </c>
      <c r="AE1246" t="s">
        <v>346</v>
      </c>
      <c r="AF1246">
        <v>46.142674</v>
      </c>
      <c r="AG1246">
        <v>-115.598088</v>
      </c>
      <c r="AH1246">
        <v>15771557</v>
      </c>
      <c r="AI1246">
        <f>17-68039</f>
        <v>-68022</v>
      </c>
    </row>
    <row r="1247" spans="2:35">
      <c r="B1247" t="s">
        <v>345</v>
      </c>
      <c r="C1247" t="s">
        <v>1307</v>
      </c>
      <c r="D1247" s="3">
        <v>42838.320138888892</v>
      </c>
      <c r="F1247">
        <v>2017</v>
      </c>
      <c r="G1247" t="s">
        <v>578</v>
      </c>
      <c r="H1247" t="s">
        <v>352</v>
      </c>
      <c r="J1247">
        <v>0</v>
      </c>
      <c r="L1247">
        <v>1</v>
      </c>
      <c r="M1247">
        <v>175</v>
      </c>
      <c r="N1247">
        <v>51</v>
      </c>
      <c r="O1247" t="s">
        <v>575</v>
      </c>
      <c r="Q1247" t="s">
        <v>1323</v>
      </c>
      <c r="R1247" t="s">
        <v>608</v>
      </c>
      <c r="U1247">
        <v>6</v>
      </c>
      <c r="V1247">
        <v>6</v>
      </c>
      <c r="W1247" t="s">
        <v>350</v>
      </c>
      <c r="X1247" t="s">
        <v>349</v>
      </c>
      <c r="Y1247" t="s">
        <v>348</v>
      </c>
      <c r="Z1247">
        <v>2017</v>
      </c>
      <c r="AB1247">
        <v>14</v>
      </c>
      <c r="AC1247">
        <v>5.3</v>
      </c>
      <c r="AE1247" t="s">
        <v>346</v>
      </c>
      <c r="AF1247">
        <v>46.142674</v>
      </c>
      <c r="AG1247">
        <v>-115.598088</v>
      </c>
      <c r="AH1247">
        <v>15771558</v>
      </c>
      <c r="AI1247">
        <f>17-68044</f>
        <v>-68027</v>
      </c>
    </row>
    <row r="1248" spans="2:35">
      <c r="B1248" t="s">
        <v>345</v>
      </c>
      <c r="C1248" t="s">
        <v>1307</v>
      </c>
      <c r="D1248" s="3">
        <v>42838.320138888892</v>
      </c>
      <c r="F1248">
        <v>2017</v>
      </c>
      <c r="G1248" t="s">
        <v>574</v>
      </c>
      <c r="H1248" t="s">
        <v>352</v>
      </c>
      <c r="J1248">
        <v>0</v>
      </c>
      <c r="L1248">
        <v>1</v>
      </c>
      <c r="M1248">
        <v>90</v>
      </c>
      <c r="N1248">
        <v>8</v>
      </c>
      <c r="O1248" t="s">
        <v>575</v>
      </c>
      <c r="Q1248" t="s">
        <v>576</v>
      </c>
      <c r="R1248" t="s">
        <v>608</v>
      </c>
      <c r="U1248">
        <v>6</v>
      </c>
      <c r="V1248">
        <v>6</v>
      </c>
      <c r="W1248" t="s">
        <v>350</v>
      </c>
      <c r="X1248" t="s">
        <v>349</v>
      </c>
      <c r="Y1248" t="s">
        <v>348</v>
      </c>
      <c r="Z1248">
        <v>2017</v>
      </c>
      <c r="AB1248">
        <v>14</v>
      </c>
      <c r="AC1248">
        <v>5.3</v>
      </c>
      <c r="AE1248" t="s">
        <v>346</v>
      </c>
      <c r="AF1248">
        <v>46.142674</v>
      </c>
      <c r="AG1248">
        <v>-115.598088</v>
      </c>
      <c r="AH1248">
        <v>15771559</v>
      </c>
    </row>
    <row r="1249" spans="2:35">
      <c r="B1249" t="s">
        <v>345</v>
      </c>
      <c r="C1249" t="s">
        <v>1307</v>
      </c>
      <c r="D1249" s="3">
        <v>42838.320138888892</v>
      </c>
      <c r="F1249">
        <v>2017</v>
      </c>
      <c r="G1249" t="s">
        <v>578</v>
      </c>
      <c r="H1249" t="s">
        <v>352</v>
      </c>
      <c r="J1249">
        <v>0</v>
      </c>
      <c r="L1249">
        <v>1</v>
      </c>
      <c r="M1249">
        <v>147</v>
      </c>
      <c r="N1249">
        <v>28</v>
      </c>
      <c r="O1249" t="s">
        <v>575</v>
      </c>
      <c r="Q1249" t="s">
        <v>1324</v>
      </c>
      <c r="R1249" t="s">
        <v>608</v>
      </c>
      <c r="U1249">
        <v>6</v>
      </c>
      <c r="V1249">
        <v>6</v>
      </c>
      <c r="W1249" t="s">
        <v>350</v>
      </c>
      <c r="X1249" t="s">
        <v>349</v>
      </c>
      <c r="Y1249" t="s">
        <v>348</v>
      </c>
      <c r="Z1249">
        <v>2017</v>
      </c>
      <c r="AB1249">
        <v>14</v>
      </c>
      <c r="AC1249">
        <v>5.3</v>
      </c>
      <c r="AE1249" t="s">
        <v>346</v>
      </c>
      <c r="AF1249">
        <v>46.142674</v>
      </c>
      <c r="AG1249">
        <v>-115.598088</v>
      </c>
      <c r="AH1249">
        <v>15771560</v>
      </c>
      <c r="AI1249">
        <f>17-68042</f>
        <v>-68025</v>
      </c>
    </row>
    <row r="1250" spans="2:35">
      <c r="B1250" t="s">
        <v>345</v>
      </c>
      <c r="C1250" t="s">
        <v>1307</v>
      </c>
      <c r="D1250" s="3">
        <v>42838.320138888892</v>
      </c>
      <c r="F1250">
        <v>2017</v>
      </c>
      <c r="G1250" t="s">
        <v>578</v>
      </c>
      <c r="H1250" t="s">
        <v>352</v>
      </c>
      <c r="J1250">
        <v>0</v>
      </c>
      <c r="L1250">
        <v>1</v>
      </c>
      <c r="M1250">
        <v>191</v>
      </c>
      <c r="N1250">
        <v>64</v>
      </c>
      <c r="O1250" t="s">
        <v>575</v>
      </c>
      <c r="Q1250" t="s">
        <v>1325</v>
      </c>
      <c r="R1250" t="s">
        <v>608</v>
      </c>
      <c r="U1250">
        <v>6</v>
      </c>
      <c r="V1250">
        <v>6</v>
      </c>
      <c r="W1250" t="s">
        <v>350</v>
      </c>
      <c r="X1250" t="s">
        <v>349</v>
      </c>
      <c r="Y1250" t="s">
        <v>348</v>
      </c>
      <c r="Z1250">
        <v>2017</v>
      </c>
      <c r="AB1250">
        <v>14</v>
      </c>
      <c r="AC1250">
        <v>5.3</v>
      </c>
      <c r="AE1250" t="s">
        <v>346</v>
      </c>
      <c r="AF1250">
        <v>46.142674</v>
      </c>
      <c r="AG1250">
        <v>-115.598088</v>
      </c>
      <c r="AH1250">
        <v>15771561</v>
      </c>
      <c r="AI1250">
        <f>17-68043</f>
        <v>-68026</v>
      </c>
    </row>
    <row r="1251" spans="2:35">
      <c r="B1251" t="s">
        <v>345</v>
      </c>
      <c r="C1251" t="s">
        <v>1307</v>
      </c>
      <c r="D1251" s="3">
        <v>42838.320138888892</v>
      </c>
      <c r="F1251">
        <v>2017</v>
      </c>
      <c r="G1251" t="s">
        <v>578</v>
      </c>
      <c r="H1251" t="s">
        <v>352</v>
      </c>
      <c r="J1251">
        <v>0</v>
      </c>
      <c r="L1251">
        <v>1</v>
      </c>
      <c r="M1251">
        <v>150</v>
      </c>
      <c r="N1251">
        <v>32</v>
      </c>
      <c r="O1251" t="s">
        <v>575</v>
      </c>
      <c r="Q1251" t="s">
        <v>1326</v>
      </c>
      <c r="R1251" t="s">
        <v>608</v>
      </c>
      <c r="U1251">
        <v>6</v>
      </c>
      <c r="V1251">
        <v>6</v>
      </c>
      <c r="W1251" t="s">
        <v>350</v>
      </c>
      <c r="X1251" t="s">
        <v>349</v>
      </c>
      <c r="Y1251" t="s">
        <v>348</v>
      </c>
      <c r="Z1251">
        <v>2017</v>
      </c>
      <c r="AB1251">
        <v>14</v>
      </c>
      <c r="AC1251">
        <v>5.3</v>
      </c>
      <c r="AE1251" t="s">
        <v>346</v>
      </c>
      <c r="AF1251">
        <v>46.142674</v>
      </c>
      <c r="AG1251">
        <v>-115.598088</v>
      </c>
      <c r="AH1251">
        <v>15771562</v>
      </c>
      <c r="AI1251">
        <f>17-68040</f>
        <v>-68023</v>
      </c>
    </row>
    <row r="1252" spans="2:35">
      <c r="B1252" t="s">
        <v>345</v>
      </c>
      <c r="C1252" t="s">
        <v>1307</v>
      </c>
      <c r="D1252" s="3">
        <v>42838.320138888892</v>
      </c>
      <c r="F1252">
        <v>2017</v>
      </c>
      <c r="G1252" t="s">
        <v>578</v>
      </c>
      <c r="H1252" t="s">
        <v>352</v>
      </c>
      <c r="J1252">
        <v>0</v>
      </c>
      <c r="L1252">
        <v>1</v>
      </c>
      <c r="M1252">
        <v>152</v>
      </c>
      <c r="N1252">
        <v>32</v>
      </c>
      <c r="O1252" t="s">
        <v>575</v>
      </c>
      <c r="Q1252" t="s">
        <v>1327</v>
      </c>
      <c r="R1252" t="s">
        <v>608</v>
      </c>
      <c r="U1252">
        <v>6</v>
      </c>
      <c r="V1252">
        <v>6</v>
      </c>
      <c r="W1252" t="s">
        <v>350</v>
      </c>
      <c r="X1252" t="s">
        <v>349</v>
      </c>
      <c r="Y1252" t="s">
        <v>348</v>
      </c>
      <c r="Z1252">
        <v>2017</v>
      </c>
      <c r="AB1252">
        <v>14</v>
      </c>
      <c r="AC1252">
        <v>5.3</v>
      </c>
      <c r="AE1252" t="s">
        <v>346</v>
      </c>
      <c r="AF1252">
        <v>46.142674</v>
      </c>
      <c r="AG1252">
        <v>-115.598088</v>
      </c>
      <c r="AH1252">
        <v>15771563</v>
      </c>
      <c r="AI1252">
        <f>17-68038</f>
        <v>-68021</v>
      </c>
    </row>
    <row r="1253" spans="2:35">
      <c r="B1253" t="s">
        <v>345</v>
      </c>
      <c r="C1253" t="s">
        <v>1328</v>
      </c>
      <c r="D1253" s="3">
        <v>42891.329861111109</v>
      </c>
      <c r="F1253">
        <v>2017</v>
      </c>
      <c r="G1253" t="s">
        <v>578</v>
      </c>
      <c r="H1253" t="s">
        <v>352</v>
      </c>
      <c r="J1253">
        <v>0</v>
      </c>
      <c r="L1253">
        <v>1</v>
      </c>
      <c r="M1253">
        <v>102</v>
      </c>
      <c r="N1253">
        <v>12</v>
      </c>
      <c r="O1253" t="s">
        <v>575</v>
      </c>
      <c r="Q1253" t="s">
        <v>1329</v>
      </c>
      <c r="R1253" t="s">
        <v>1330</v>
      </c>
      <c r="U1253">
        <v>10</v>
      </c>
      <c r="V1253">
        <v>9</v>
      </c>
      <c r="W1253" t="s">
        <v>350</v>
      </c>
      <c r="X1253" t="s">
        <v>349</v>
      </c>
      <c r="Y1253" t="s">
        <v>580</v>
      </c>
      <c r="Z1253">
        <v>2017</v>
      </c>
      <c r="AB1253">
        <v>13</v>
      </c>
      <c r="AC1253">
        <v>8.24</v>
      </c>
      <c r="AE1253" t="s">
        <v>346</v>
      </c>
      <c r="AF1253">
        <v>46.142674</v>
      </c>
      <c r="AG1253">
        <v>-115.598088</v>
      </c>
      <c r="AH1253">
        <v>15772620</v>
      </c>
    </row>
    <row r="1254" spans="2:35">
      <c r="B1254" t="s">
        <v>345</v>
      </c>
      <c r="C1254" t="s">
        <v>1328</v>
      </c>
      <c r="D1254" s="3">
        <v>42891.329861111109</v>
      </c>
      <c r="F1254">
        <v>2017</v>
      </c>
      <c r="G1254" t="s">
        <v>578</v>
      </c>
      <c r="H1254" t="s">
        <v>352</v>
      </c>
      <c r="J1254">
        <v>0</v>
      </c>
      <c r="L1254">
        <v>1</v>
      </c>
      <c r="M1254">
        <v>118</v>
      </c>
      <c r="N1254">
        <v>18</v>
      </c>
      <c r="O1254" t="s">
        <v>575</v>
      </c>
      <c r="Q1254" t="s">
        <v>1331</v>
      </c>
      <c r="R1254" t="s">
        <v>1330</v>
      </c>
      <c r="U1254">
        <v>10</v>
      </c>
      <c r="V1254">
        <v>9</v>
      </c>
      <c r="W1254" t="s">
        <v>350</v>
      </c>
      <c r="X1254" t="s">
        <v>349</v>
      </c>
      <c r="Y1254" t="s">
        <v>580</v>
      </c>
      <c r="Z1254">
        <v>2017</v>
      </c>
      <c r="AB1254">
        <v>13</v>
      </c>
      <c r="AC1254">
        <v>8.24</v>
      </c>
      <c r="AE1254" t="s">
        <v>346</v>
      </c>
      <c r="AF1254">
        <v>46.142674</v>
      </c>
      <c r="AG1254">
        <v>-115.598088</v>
      </c>
      <c r="AH1254">
        <v>15772621</v>
      </c>
    </row>
    <row r="1255" spans="2:35">
      <c r="B1255" t="s">
        <v>345</v>
      </c>
      <c r="C1255" t="s">
        <v>1328</v>
      </c>
      <c r="D1255" s="3">
        <v>42891.329861111109</v>
      </c>
      <c r="F1255">
        <v>2017</v>
      </c>
      <c r="G1255" t="s">
        <v>578</v>
      </c>
      <c r="H1255" t="s">
        <v>352</v>
      </c>
      <c r="J1255">
        <v>0</v>
      </c>
      <c r="L1255">
        <v>1</v>
      </c>
      <c r="M1255">
        <v>110</v>
      </c>
      <c r="N1255">
        <v>16</v>
      </c>
      <c r="O1255" t="s">
        <v>575</v>
      </c>
      <c r="Q1255" t="s">
        <v>1332</v>
      </c>
      <c r="R1255" t="s">
        <v>1330</v>
      </c>
      <c r="U1255">
        <v>10</v>
      </c>
      <c r="V1255">
        <v>9</v>
      </c>
      <c r="W1255" t="s">
        <v>350</v>
      </c>
      <c r="X1255" t="s">
        <v>349</v>
      </c>
      <c r="Y1255" t="s">
        <v>580</v>
      </c>
      <c r="Z1255">
        <v>2017</v>
      </c>
      <c r="AB1255">
        <v>13</v>
      </c>
      <c r="AC1255">
        <v>8.24</v>
      </c>
      <c r="AE1255" t="s">
        <v>346</v>
      </c>
      <c r="AF1255">
        <v>46.142674</v>
      </c>
      <c r="AG1255">
        <v>-115.598088</v>
      </c>
      <c r="AH1255">
        <v>15772622</v>
      </c>
    </row>
    <row r="1256" spans="2:35">
      <c r="B1256" t="s">
        <v>345</v>
      </c>
      <c r="C1256" t="s">
        <v>1333</v>
      </c>
      <c r="D1256" s="3">
        <v>43005.376388888886</v>
      </c>
      <c r="F1256">
        <v>2017</v>
      </c>
      <c r="G1256" t="s">
        <v>480</v>
      </c>
      <c r="H1256" t="s">
        <v>352</v>
      </c>
      <c r="J1256">
        <v>0</v>
      </c>
      <c r="L1256">
        <v>1</v>
      </c>
      <c r="M1256">
        <v>330</v>
      </c>
      <c r="N1256">
        <v>0</v>
      </c>
      <c r="O1256" t="s">
        <v>353</v>
      </c>
      <c r="R1256" t="s">
        <v>603</v>
      </c>
      <c r="U1256">
        <v>10.5</v>
      </c>
      <c r="V1256">
        <v>10.5</v>
      </c>
      <c r="W1256" t="s">
        <v>350</v>
      </c>
      <c r="X1256" t="s">
        <v>349</v>
      </c>
      <c r="Y1256" t="s">
        <v>348</v>
      </c>
      <c r="Z1256">
        <v>2017</v>
      </c>
      <c r="AB1256">
        <v>8</v>
      </c>
      <c r="AC1256">
        <v>1.91</v>
      </c>
      <c r="AE1256" t="s">
        <v>346</v>
      </c>
      <c r="AF1256">
        <v>46.142674</v>
      </c>
      <c r="AG1256">
        <v>-115.598088</v>
      </c>
      <c r="AH1256">
        <v>15821486</v>
      </c>
    </row>
    <row r="1257" spans="2:35">
      <c r="B1257" t="s">
        <v>345</v>
      </c>
      <c r="C1257" t="s">
        <v>1333</v>
      </c>
      <c r="D1257" s="3">
        <v>43005.376388888886</v>
      </c>
      <c r="F1257">
        <v>2017</v>
      </c>
      <c r="G1257" t="s">
        <v>578</v>
      </c>
      <c r="H1257" t="s">
        <v>352</v>
      </c>
      <c r="J1257">
        <v>0</v>
      </c>
      <c r="L1257">
        <v>1</v>
      </c>
      <c r="M1257">
        <v>176</v>
      </c>
      <c r="N1257">
        <v>52</v>
      </c>
      <c r="O1257" t="s">
        <v>575</v>
      </c>
      <c r="Q1257" t="s">
        <v>1334</v>
      </c>
      <c r="R1257" t="s">
        <v>603</v>
      </c>
      <c r="U1257">
        <v>10.5</v>
      </c>
      <c r="V1257">
        <v>10.5</v>
      </c>
      <c r="W1257" t="s">
        <v>350</v>
      </c>
      <c r="X1257" t="s">
        <v>349</v>
      </c>
      <c r="Y1257" t="s">
        <v>348</v>
      </c>
      <c r="Z1257">
        <v>2017</v>
      </c>
      <c r="AB1257">
        <v>8</v>
      </c>
      <c r="AC1257">
        <v>1.91</v>
      </c>
      <c r="AE1257" t="s">
        <v>346</v>
      </c>
      <c r="AF1257">
        <v>46.142674</v>
      </c>
      <c r="AG1257">
        <v>-115.598088</v>
      </c>
      <c r="AH1257">
        <v>15821487</v>
      </c>
      <c r="AI1257">
        <f>17-76570</f>
        <v>-76553</v>
      </c>
    </row>
    <row r="1258" spans="2:35">
      <c r="B1258" t="s">
        <v>345</v>
      </c>
      <c r="C1258" t="s">
        <v>1333</v>
      </c>
      <c r="D1258" s="3">
        <v>43005.376388888886</v>
      </c>
      <c r="F1258">
        <v>2017</v>
      </c>
      <c r="G1258" t="s">
        <v>482</v>
      </c>
      <c r="H1258" t="s">
        <v>352</v>
      </c>
      <c r="J1258">
        <v>0</v>
      </c>
      <c r="L1258">
        <v>1</v>
      </c>
      <c r="M1258">
        <v>234</v>
      </c>
      <c r="N1258">
        <v>134</v>
      </c>
      <c r="O1258" t="s">
        <v>353</v>
      </c>
      <c r="R1258" t="s">
        <v>603</v>
      </c>
      <c r="U1258">
        <v>10.5</v>
      </c>
      <c r="V1258">
        <v>10.5</v>
      </c>
      <c r="W1258" t="s">
        <v>350</v>
      </c>
      <c r="X1258" t="s">
        <v>349</v>
      </c>
      <c r="Y1258" t="s">
        <v>348</v>
      </c>
      <c r="Z1258">
        <v>2017</v>
      </c>
      <c r="AB1258">
        <v>8</v>
      </c>
      <c r="AC1258">
        <v>1.91</v>
      </c>
      <c r="AE1258" t="s">
        <v>346</v>
      </c>
      <c r="AF1258">
        <v>46.142674</v>
      </c>
      <c r="AG1258">
        <v>-115.598088</v>
      </c>
      <c r="AH1258">
        <v>15821488</v>
      </c>
    </row>
    <row r="1259" spans="2:35">
      <c r="B1259" t="s">
        <v>345</v>
      </c>
      <c r="C1259" t="s">
        <v>1333</v>
      </c>
      <c r="D1259" s="3">
        <v>43005.376388888886</v>
      </c>
      <c r="F1259">
        <v>2017</v>
      </c>
      <c r="G1259" t="s">
        <v>611</v>
      </c>
      <c r="H1259" t="s">
        <v>352</v>
      </c>
      <c r="J1259">
        <v>0</v>
      </c>
      <c r="L1259">
        <v>1</v>
      </c>
      <c r="M1259">
        <v>85</v>
      </c>
      <c r="N1259">
        <v>9</v>
      </c>
      <c r="O1259" t="s">
        <v>353</v>
      </c>
      <c r="R1259" t="s">
        <v>603</v>
      </c>
      <c r="U1259">
        <v>10.5</v>
      </c>
      <c r="V1259">
        <v>10.5</v>
      </c>
      <c r="W1259" t="s">
        <v>350</v>
      </c>
      <c r="X1259" t="s">
        <v>349</v>
      </c>
      <c r="Y1259" t="s">
        <v>348</v>
      </c>
      <c r="Z1259">
        <v>2017</v>
      </c>
      <c r="AB1259">
        <v>8</v>
      </c>
      <c r="AC1259">
        <v>1.91</v>
      </c>
      <c r="AE1259" t="s">
        <v>346</v>
      </c>
      <c r="AF1259">
        <v>46.142674</v>
      </c>
      <c r="AG1259">
        <v>-115.598088</v>
      </c>
      <c r="AH1259">
        <v>15821489</v>
      </c>
    </row>
    <row r="1260" spans="2:35">
      <c r="B1260" t="s">
        <v>345</v>
      </c>
      <c r="C1260" t="s">
        <v>1333</v>
      </c>
      <c r="D1260" s="3">
        <v>43005.376388888886</v>
      </c>
      <c r="F1260">
        <v>2017</v>
      </c>
      <c r="G1260" t="s">
        <v>605</v>
      </c>
      <c r="H1260" t="s">
        <v>352</v>
      </c>
      <c r="J1260">
        <v>0</v>
      </c>
      <c r="L1260">
        <v>15</v>
      </c>
      <c r="M1260">
        <v>0</v>
      </c>
      <c r="N1260">
        <v>0</v>
      </c>
      <c r="O1260" t="s">
        <v>606</v>
      </c>
      <c r="R1260" t="s">
        <v>603</v>
      </c>
      <c r="U1260">
        <v>10.5</v>
      </c>
      <c r="V1260">
        <v>10.5</v>
      </c>
      <c r="W1260" t="s">
        <v>350</v>
      </c>
      <c r="X1260" t="s">
        <v>349</v>
      </c>
      <c r="Y1260" t="s">
        <v>348</v>
      </c>
      <c r="Z1260">
        <v>2017</v>
      </c>
      <c r="AB1260">
        <v>8</v>
      </c>
      <c r="AC1260">
        <v>1.91</v>
      </c>
      <c r="AE1260" t="s">
        <v>346</v>
      </c>
      <c r="AF1260">
        <v>46.142674</v>
      </c>
      <c r="AG1260">
        <v>-115.598088</v>
      </c>
      <c r="AH1260">
        <v>15821490</v>
      </c>
    </row>
    <row r="1261" spans="2:35">
      <c r="B1261" t="s">
        <v>345</v>
      </c>
      <c r="C1261" t="s">
        <v>1217</v>
      </c>
      <c r="D1261" s="3">
        <v>42877.337500000001</v>
      </c>
      <c r="F1261">
        <v>2017</v>
      </c>
      <c r="G1261" t="s">
        <v>615</v>
      </c>
      <c r="H1261" t="s">
        <v>352</v>
      </c>
      <c r="J1261">
        <v>0</v>
      </c>
      <c r="L1261">
        <v>1</v>
      </c>
      <c r="M1261">
        <v>167</v>
      </c>
      <c r="N1261">
        <v>41</v>
      </c>
      <c r="O1261" t="s">
        <v>353</v>
      </c>
      <c r="R1261" t="s">
        <v>1219</v>
      </c>
      <c r="U1261">
        <v>8.5</v>
      </c>
      <c r="V1261">
        <v>8</v>
      </c>
      <c r="W1261" t="s">
        <v>350</v>
      </c>
      <c r="X1261" t="s">
        <v>349</v>
      </c>
      <c r="Y1261" t="s">
        <v>580</v>
      </c>
      <c r="Z1261">
        <v>2017</v>
      </c>
      <c r="AB1261">
        <v>13</v>
      </c>
      <c r="AC1261">
        <v>6.78</v>
      </c>
      <c r="AE1261" t="s">
        <v>346</v>
      </c>
      <c r="AF1261">
        <v>46.142674</v>
      </c>
      <c r="AG1261">
        <v>-115.598088</v>
      </c>
      <c r="AH1261">
        <v>15557084</v>
      </c>
    </row>
    <row r="1262" spans="2:35">
      <c r="B1262" t="s">
        <v>345</v>
      </c>
      <c r="C1262" t="s">
        <v>1335</v>
      </c>
      <c r="D1262" s="3">
        <v>42882.711805555555</v>
      </c>
      <c r="F1262">
        <v>2017</v>
      </c>
      <c r="G1262" t="s">
        <v>610</v>
      </c>
      <c r="H1262" t="s">
        <v>352</v>
      </c>
      <c r="J1262">
        <v>0</v>
      </c>
      <c r="L1262">
        <v>1</v>
      </c>
      <c r="M1262">
        <v>36</v>
      </c>
      <c r="N1262">
        <v>0</v>
      </c>
      <c r="O1262" t="s">
        <v>353</v>
      </c>
      <c r="R1262" t="s">
        <v>608</v>
      </c>
      <c r="U1262">
        <v>7.5</v>
      </c>
      <c r="V1262">
        <v>7.5</v>
      </c>
      <c r="W1262" t="s">
        <v>350</v>
      </c>
      <c r="X1262" t="s">
        <v>349</v>
      </c>
      <c r="Y1262" t="s">
        <v>348</v>
      </c>
      <c r="Z1262">
        <v>2017</v>
      </c>
      <c r="AB1262">
        <v>11</v>
      </c>
      <c r="AC1262">
        <v>7.49</v>
      </c>
      <c r="AE1262" t="s">
        <v>346</v>
      </c>
      <c r="AF1262">
        <v>46.142674</v>
      </c>
      <c r="AG1262">
        <v>-115.598088</v>
      </c>
      <c r="AH1262">
        <v>15659437</v>
      </c>
    </row>
    <row r="1263" spans="2:35">
      <c r="B1263" t="s">
        <v>345</v>
      </c>
      <c r="C1263" t="s">
        <v>1335</v>
      </c>
      <c r="D1263" s="3">
        <v>42882.711805555555</v>
      </c>
      <c r="F1263">
        <v>2017</v>
      </c>
      <c r="G1263" t="s">
        <v>482</v>
      </c>
      <c r="H1263" t="s">
        <v>352</v>
      </c>
      <c r="J1263">
        <v>0</v>
      </c>
      <c r="L1263">
        <v>1</v>
      </c>
      <c r="M1263">
        <v>65</v>
      </c>
      <c r="N1263">
        <v>3</v>
      </c>
      <c r="O1263" t="s">
        <v>353</v>
      </c>
      <c r="R1263" t="s">
        <v>608</v>
      </c>
      <c r="U1263">
        <v>7.5</v>
      </c>
      <c r="V1263">
        <v>7.5</v>
      </c>
      <c r="W1263" t="s">
        <v>350</v>
      </c>
      <c r="X1263" t="s">
        <v>349</v>
      </c>
      <c r="Y1263" t="s">
        <v>348</v>
      </c>
      <c r="Z1263">
        <v>2017</v>
      </c>
      <c r="AB1263">
        <v>11</v>
      </c>
      <c r="AC1263">
        <v>7.49</v>
      </c>
      <c r="AE1263" t="s">
        <v>346</v>
      </c>
      <c r="AF1263">
        <v>46.142674</v>
      </c>
      <c r="AG1263">
        <v>-115.598088</v>
      </c>
      <c r="AH1263">
        <v>15659438</v>
      </c>
    </row>
    <row r="1264" spans="2:35">
      <c r="B1264" t="s">
        <v>345</v>
      </c>
      <c r="C1264" t="s">
        <v>1335</v>
      </c>
      <c r="D1264" s="3">
        <v>42882.711805555555</v>
      </c>
      <c r="F1264">
        <v>2017</v>
      </c>
      <c r="G1264" t="s">
        <v>604</v>
      </c>
      <c r="H1264" t="s">
        <v>352</v>
      </c>
      <c r="J1264">
        <v>0</v>
      </c>
      <c r="L1264">
        <v>1</v>
      </c>
      <c r="M1264">
        <v>395</v>
      </c>
      <c r="N1264">
        <v>0</v>
      </c>
      <c r="O1264" t="s">
        <v>353</v>
      </c>
      <c r="R1264" t="s">
        <v>608</v>
      </c>
      <c r="U1264">
        <v>7.5</v>
      </c>
      <c r="V1264">
        <v>7.5</v>
      </c>
      <c r="W1264" t="s">
        <v>350</v>
      </c>
      <c r="X1264" t="s">
        <v>349</v>
      </c>
      <c r="Y1264" t="s">
        <v>348</v>
      </c>
      <c r="Z1264">
        <v>2017</v>
      </c>
      <c r="AB1264">
        <v>11</v>
      </c>
      <c r="AC1264">
        <v>7.49</v>
      </c>
      <c r="AE1264" t="s">
        <v>346</v>
      </c>
      <c r="AF1264">
        <v>46.142674</v>
      </c>
      <c r="AG1264">
        <v>-115.598088</v>
      </c>
      <c r="AH1264">
        <v>15659439</v>
      </c>
    </row>
    <row r="1265" spans="2:34">
      <c r="B1265" t="s">
        <v>345</v>
      </c>
      <c r="C1265" t="s">
        <v>1336</v>
      </c>
      <c r="D1265" s="3">
        <v>42825.353472222225</v>
      </c>
      <c r="F1265">
        <v>2017</v>
      </c>
      <c r="G1265" t="s">
        <v>578</v>
      </c>
      <c r="H1265" t="s">
        <v>352</v>
      </c>
      <c r="J1265">
        <v>0</v>
      </c>
      <c r="L1265">
        <v>1</v>
      </c>
      <c r="M1265">
        <v>196</v>
      </c>
      <c r="N1265">
        <v>67</v>
      </c>
      <c r="O1265" t="s">
        <v>575</v>
      </c>
      <c r="Q1265" t="s">
        <v>1337</v>
      </c>
      <c r="U1265">
        <v>5</v>
      </c>
      <c r="V1265">
        <v>5</v>
      </c>
      <c r="W1265" t="s">
        <v>350</v>
      </c>
      <c r="X1265" t="s">
        <v>349</v>
      </c>
      <c r="Y1265" t="s">
        <v>348</v>
      </c>
      <c r="Z1265">
        <v>2017</v>
      </c>
      <c r="AB1265">
        <v>12</v>
      </c>
      <c r="AC1265">
        <v>6.16</v>
      </c>
      <c r="AE1265" t="s">
        <v>346</v>
      </c>
      <c r="AF1265">
        <v>46.142674</v>
      </c>
      <c r="AG1265">
        <v>-115.598088</v>
      </c>
      <c r="AH1265">
        <v>15662464</v>
      </c>
    </row>
    <row r="1266" spans="2:34">
      <c r="B1266" t="s">
        <v>345</v>
      </c>
      <c r="C1266" t="s">
        <v>1336</v>
      </c>
      <c r="D1266" s="3">
        <v>42825.353472222225</v>
      </c>
      <c r="F1266">
        <v>2017</v>
      </c>
      <c r="G1266" t="s">
        <v>578</v>
      </c>
      <c r="H1266" t="s">
        <v>352</v>
      </c>
      <c r="J1266">
        <v>0</v>
      </c>
      <c r="L1266">
        <v>1</v>
      </c>
      <c r="M1266">
        <v>152</v>
      </c>
      <c r="N1266">
        <v>32</v>
      </c>
      <c r="O1266" t="s">
        <v>634</v>
      </c>
      <c r="P1266" t="s">
        <v>635</v>
      </c>
      <c r="Q1266" t="s">
        <v>635</v>
      </c>
      <c r="U1266">
        <v>5</v>
      </c>
      <c r="V1266">
        <v>5</v>
      </c>
      <c r="W1266" t="s">
        <v>350</v>
      </c>
      <c r="X1266" t="s">
        <v>349</v>
      </c>
      <c r="Y1266" t="s">
        <v>348</v>
      </c>
      <c r="Z1266">
        <v>2017</v>
      </c>
      <c r="AB1266">
        <v>12</v>
      </c>
      <c r="AC1266">
        <v>6.16</v>
      </c>
      <c r="AE1266" t="s">
        <v>346</v>
      </c>
      <c r="AF1266">
        <v>46.142674</v>
      </c>
      <c r="AG1266">
        <v>-115.598088</v>
      </c>
      <c r="AH1266">
        <v>15662465</v>
      </c>
    </row>
    <row r="1267" spans="2:34">
      <c r="B1267" t="s">
        <v>345</v>
      </c>
      <c r="C1267" t="s">
        <v>1338</v>
      </c>
      <c r="D1267" s="3">
        <v>43036.474305555559</v>
      </c>
      <c r="F1267">
        <v>2017</v>
      </c>
      <c r="G1267" t="s">
        <v>615</v>
      </c>
      <c r="H1267" t="s">
        <v>352</v>
      </c>
      <c r="J1267">
        <v>0</v>
      </c>
      <c r="L1267">
        <v>1</v>
      </c>
      <c r="M1267">
        <v>226</v>
      </c>
      <c r="N1267">
        <v>0</v>
      </c>
      <c r="O1267" t="s">
        <v>353</v>
      </c>
      <c r="R1267" t="s">
        <v>1339</v>
      </c>
      <c r="U1267">
        <v>7</v>
      </c>
      <c r="V1267">
        <v>6</v>
      </c>
      <c r="W1267" t="s">
        <v>350</v>
      </c>
      <c r="X1267" t="s">
        <v>349</v>
      </c>
      <c r="Y1267" t="s">
        <v>642</v>
      </c>
      <c r="Z1267">
        <v>2017</v>
      </c>
      <c r="AB1267">
        <v>7</v>
      </c>
      <c r="AC1267">
        <v>2.37</v>
      </c>
      <c r="AE1267" t="s">
        <v>346</v>
      </c>
      <c r="AF1267">
        <v>46.142674</v>
      </c>
      <c r="AG1267">
        <v>-115.598088</v>
      </c>
      <c r="AH1267">
        <v>15757890</v>
      </c>
    </row>
    <row r="1268" spans="2:34">
      <c r="B1268" t="s">
        <v>345</v>
      </c>
      <c r="C1268" t="s">
        <v>1338</v>
      </c>
      <c r="D1268" s="3">
        <v>43036.474305555559</v>
      </c>
      <c r="F1268">
        <v>2017</v>
      </c>
      <c r="G1268" t="s">
        <v>574</v>
      </c>
      <c r="H1268" t="s">
        <v>352</v>
      </c>
      <c r="J1268">
        <v>0</v>
      </c>
      <c r="L1268">
        <v>1</v>
      </c>
      <c r="M1268">
        <v>82</v>
      </c>
      <c r="N1268">
        <v>7</v>
      </c>
      <c r="O1268" t="s">
        <v>575</v>
      </c>
      <c r="Q1268" t="s">
        <v>576</v>
      </c>
      <c r="R1268" t="s">
        <v>1339</v>
      </c>
      <c r="U1268">
        <v>7</v>
      </c>
      <c r="V1268">
        <v>6</v>
      </c>
      <c r="W1268" t="s">
        <v>350</v>
      </c>
      <c r="X1268" t="s">
        <v>349</v>
      </c>
      <c r="Y1268" t="s">
        <v>642</v>
      </c>
      <c r="Z1268">
        <v>2017</v>
      </c>
      <c r="AB1268">
        <v>7</v>
      </c>
      <c r="AC1268">
        <v>2.37</v>
      </c>
      <c r="AE1268" t="s">
        <v>346</v>
      </c>
      <c r="AF1268">
        <v>46.142674</v>
      </c>
      <c r="AG1268">
        <v>-115.598088</v>
      </c>
      <c r="AH1268">
        <v>15757891</v>
      </c>
    </row>
    <row r="1269" spans="2:34">
      <c r="B1269" t="s">
        <v>345</v>
      </c>
      <c r="C1269" t="s">
        <v>1338</v>
      </c>
      <c r="D1269" s="3">
        <v>43036.474305555559</v>
      </c>
      <c r="F1269">
        <v>2017</v>
      </c>
      <c r="G1269" t="s">
        <v>574</v>
      </c>
      <c r="H1269" t="s">
        <v>352</v>
      </c>
      <c r="J1269">
        <v>0</v>
      </c>
      <c r="L1269">
        <v>1</v>
      </c>
      <c r="M1269">
        <v>87</v>
      </c>
      <c r="N1269">
        <v>7</v>
      </c>
      <c r="O1269" t="s">
        <v>575</v>
      </c>
      <c r="Q1269" t="s">
        <v>576</v>
      </c>
      <c r="R1269" t="s">
        <v>1339</v>
      </c>
      <c r="U1269">
        <v>7</v>
      </c>
      <c r="V1269">
        <v>6</v>
      </c>
      <c r="W1269" t="s">
        <v>350</v>
      </c>
      <c r="X1269" t="s">
        <v>349</v>
      </c>
      <c r="Y1269" t="s">
        <v>642</v>
      </c>
      <c r="Z1269">
        <v>2017</v>
      </c>
      <c r="AB1269">
        <v>7</v>
      </c>
      <c r="AC1269">
        <v>2.37</v>
      </c>
      <c r="AE1269" t="s">
        <v>346</v>
      </c>
      <c r="AF1269">
        <v>46.142674</v>
      </c>
      <c r="AG1269">
        <v>-115.598088</v>
      </c>
      <c r="AH1269">
        <v>15757892</v>
      </c>
    </row>
    <row r="1270" spans="2:34">
      <c r="B1270" t="s">
        <v>345</v>
      </c>
      <c r="C1270" t="s">
        <v>1338</v>
      </c>
      <c r="D1270" s="3">
        <v>43036.474305555559</v>
      </c>
      <c r="F1270">
        <v>2017</v>
      </c>
      <c r="G1270" t="s">
        <v>480</v>
      </c>
      <c r="H1270" t="s">
        <v>352</v>
      </c>
      <c r="J1270">
        <v>0</v>
      </c>
      <c r="L1270">
        <v>1</v>
      </c>
      <c r="M1270">
        <v>226</v>
      </c>
      <c r="N1270">
        <v>0</v>
      </c>
      <c r="O1270" t="s">
        <v>353</v>
      </c>
      <c r="R1270" t="s">
        <v>1339</v>
      </c>
      <c r="U1270">
        <v>7</v>
      </c>
      <c r="V1270">
        <v>6</v>
      </c>
      <c r="W1270" t="s">
        <v>350</v>
      </c>
      <c r="X1270" t="s">
        <v>349</v>
      </c>
      <c r="Y1270" t="s">
        <v>642</v>
      </c>
      <c r="Z1270">
        <v>2017</v>
      </c>
      <c r="AB1270">
        <v>7</v>
      </c>
      <c r="AC1270">
        <v>2.37</v>
      </c>
      <c r="AE1270" t="s">
        <v>346</v>
      </c>
      <c r="AF1270">
        <v>46.142674</v>
      </c>
      <c r="AG1270">
        <v>-115.598088</v>
      </c>
      <c r="AH1270">
        <v>15757893</v>
      </c>
    </row>
    <row r="1271" spans="2:34">
      <c r="B1271" t="s">
        <v>345</v>
      </c>
      <c r="C1271" t="s">
        <v>1338</v>
      </c>
      <c r="D1271" s="3">
        <v>43036.474305555559</v>
      </c>
      <c r="F1271">
        <v>2017</v>
      </c>
      <c r="G1271" t="s">
        <v>574</v>
      </c>
      <c r="H1271" t="s">
        <v>352</v>
      </c>
      <c r="J1271">
        <v>0</v>
      </c>
      <c r="L1271">
        <v>1</v>
      </c>
      <c r="M1271">
        <v>74</v>
      </c>
      <c r="N1271">
        <v>5</v>
      </c>
      <c r="O1271" t="s">
        <v>575</v>
      </c>
      <c r="Q1271" t="s">
        <v>576</v>
      </c>
      <c r="R1271" t="s">
        <v>1339</v>
      </c>
      <c r="U1271">
        <v>7</v>
      </c>
      <c r="V1271">
        <v>6</v>
      </c>
      <c r="W1271" t="s">
        <v>350</v>
      </c>
      <c r="X1271" t="s">
        <v>349</v>
      </c>
      <c r="Y1271" t="s">
        <v>642</v>
      </c>
      <c r="Z1271">
        <v>2017</v>
      </c>
      <c r="AB1271">
        <v>7</v>
      </c>
      <c r="AC1271">
        <v>2.37</v>
      </c>
      <c r="AE1271" t="s">
        <v>346</v>
      </c>
      <c r="AF1271">
        <v>46.142674</v>
      </c>
      <c r="AG1271">
        <v>-115.598088</v>
      </c>
      <c r="AH1271">
        <v>15757894</v>
      </c>
    </row>
    <row r="1272" spans="2:34">
      <c r="B1272" t="s">
        <v>345</v>
      </c>
      <c r="C1272" t="s">
        <v>1338</v>
      </c>
      <c r="D1272" s="3">
        <v>43036.474305555559</v>
      </c>
      <c r="F1272">
        <v>2017</v>
      </c>
      <c r="G1272" t="s">
        <v>574</v>
      </c>
      <c r="H1272" t="s">
        <v>352</v>
      </c>
      <c r="J1272">
        <v>0</v>
      </c>
      <c r="L1272">
        <v>1</v>
      </c>
      <c r="M1272">
        <v>71</v>
      </c>
      <c r="N1272">
        <v>6</v>
      </c>
      <c r="O1272" t="s">
        <v>575</v>
      </c>
      <c r="Q1272" t="s">
        <v>576</v>
      </c>
      <c r="R1272" t="s">
        <v>1339</v>
      </c>
      <c r="U1272">
        <v>7</v>
      </c>
      <c r="V1272">
        <v>6</v>
      </c>
      <c r="W1272" t="s">
        <v>350</v>
      </c>
      <c r="X1272" t="s">
        <v>349</v>
      </c>
      <c r="Y1272" t="s">
        <v>642</v>
      </c>
      <c r="Z1272">
        <v>2017</v>
      </c>
      <c r="AB1272">
        <v>7</v>
      </c>
      <c r="AC1272">
        <v>2.37</v>
      </c>
      <c r="AE1272" t="s">
        <v>346</v>
      </c>
      <c r="AF1272">
        <v>46.142674</v>
      </c>
      <c r="AG1272">
        <v>-115.598088</v>
      </c>
      <c r="AH1272">
        <v>15757895</v>
      </c>
    </row>
    <row r="1273" spans="2:34">
      <c r="B1273" t="s">
        <v>345</v>
      </c>
      <c r="C1273" t="s">
        <v>1338</v>
      </c>
      <c r="D1273" s="3">
        <v>43036.474305555559</v>
      </c>
      <c r="F1273">
        <v>2017</v>
      </c>
      <c r="G1273" t="s">
        <v>421</v>
      </c>
      <c r="H1273" t="s">
        <v>352</v>
      </c>
      <c r="J1273">
        <v>0</v>
      </c>
      <c r="L1273">
        <v>1</v>
      </c>
      <c r="M1273">
        <v>271</v>
      </c>
      <c r="N1273">
        <v>0</v>
      </c>
      <c r="O1273" t="s">
        <v>353</v>
      </c>
      <c r="R1273" t="s">
        <v>1339</v>
      </c>
      <c r="U1273">
        <v>7</v>
      </c>
      <c r="V1273">
        <v>6</v>
      </c>
      <c r="W1273" t="s">
        <v>350</v>
      </c>
      <c r="X1273" t="s">
        <v>349</v>
      </c>
      <c r="Y1273" t="s">
        <v>642</v>
      </c>
      <c r="Z1273">
        <v>2017</v>
      </c>
      <c r="AB1273">
        <v>7</v>
      </c>
      <c r="AC1273">
        <v>2.37</v>
      </c>
      <c r="AE1273" t="s">
        <v>346</v>
      </c>
      <c r="AF1273">
        <v>46.142674</v>
      </c>
      <c r="AG1273">
        <v>-115.598088</v>
      </c>
      <c r="AH1273">
        <v>15757896</v>
      </c>
    </row>
    <row r="1274" spans="2:34">
      <c r="B1274" t="s">
        <v>345</v>
      </c>
      <c r="C1274" t="s">
        <v>1338</v>
      </c>
      <c r="D1274" s="3">
        <v>43036.474305555559</v>
      </c>
      <c r="F1274">
        <v>2017</v>
      </c>
      <c r="G1274" t="s">
        <v>574</v>
      </c>
      <c r="H1274" t="s">
        <v>352</v>
      </c>
      <c r="J1274">
        <v>0</v>
      </c>
      <c r="L1274">
        <v>1</v>
      </c>
      <c r="M1274">
        <v>70</v>
      </c>
      <c r="N1274">
        <v>4</v>
      </c>
      <c r="O1274" t="s">
        <v>575</v>
      </c>
      <c r="Q1274" t="s">
        <v>576</v>
      </c>
      <c r="R1274" t="s">
        <v>1339</v>
      </c>
      <c r="U1274">
        <v>7</v>
      </c>
      <c r="V1274">
        <v>6</v>
      </c>
      <c r="W1274" t="s">
        <v>350</v>
      </c>
      <c r="X1274" t="s">
        <v>349</v>
      </c>
      <c r="Y1274" t="s">
        <v>642</v>
      </c>
      <c r="Z1274">
        <v>2017</v>
      </c>
      <c r="AB1274">
        <v>7</v>
      </c>
      <c r="AC1274">
        <v>2.37</v>
      </c>
      <c r="AE1274" t="s">
        <v>346</v>
      </c>
      <c r="AF1274">
        <v>46.142674</v>
      </c>
      <c r="AG1274">
        <v>-115.598088</v>
      </c>
      <c r="AH1274">
        <v>15757897</v>
      </c>
    </row>
    <row r="1275" spans="2:34">
      <c r="B1275" t="s">
        <v>345</v>
      </c>
      <c r="C1275" t="s">
        <v>1338</v>
      </c>
      <c r="D1275" s="3">
        <v>43036.474305555559</v>
      </c>
      <c r="F1275">
        <v>2017</v>
      </c>
      <c r="G1275" t="s">
        <v>480</v>
      </c>
      <c r="H1275" t="s">
        <v>352</v>
      </c>
      <c r="J1275">
        <v>0</v>
      </c>
      <c r="L1275">
        <v>1</v>
      </c>
      <c r="M1275">
        <v>274</v>
      </c>
      <c r="N1275">
        <v>0</v>
      </c>
      <c r="O1275" t="s">
        <v>353</v>
      </c>
      <c r="R1275" t="s">
        <v>1339</v>
      </c>
      <c r="U1275">
        <v>7</v>
      </c>
      <c r="V1275">
        <v>6</v>
      </c>
      <c r="W1275" t="s">
        <v>350</v>
      </c>
      <c r="X1275" t="s">
        <v>349</v>
      </c>
      <c r="Y1275" t="s">
        <v>642</v>
      </c>
      <c r="Z1275">
        <v>2017</v>
      </c>
      <c r="AB1275">
        <v>7</v>
      </c>
      <c r="AC1275">
        <v>2.37</v>
      </c>
      <c r="AE1275" t="s">
        <v>346</v>
      </c>
      <c r="AF1275">
        <v>46.142674</v>
      </c>
      <c r="AG1275">
        <v>-115.598088</v>
      </c>
      <c r="AH1275">
        <v>15757898</v>
      </c>
    </row>
    <row r="1276" spans="2:34">
      <c r="B1276" t="s">
        <v>345</v>
      </c>
      <c r="C1276" t="s">
        <v>1340</v>
      </c>
      <c r="D1276" s="3">
        <v>42931.425694444442</v>
      </c>
      <c r="F1276">
        <v>2017</v>
      </c>
      <c r="G1276" t="s">
        <v>605</v>
      </c>
      <c r="H1276" t="s">
        <v>352</v>
      </c>
      <c r="J1276">
        <v>0</v>
      </c>
      <c r="L1276">
        <v>2</v>
      </c>
      <c r="O1276" t="s">
        <v>643</v>
      </c>
      <c r="R1276" t="s">
        <v>1341</v>
      </c>
      <c r="U1276">
        <v>25</v>
      </c>
      <c r="V1276">
        <v>25</v>
      </c>
      <c r="W1276" t="s">
        <v>350</v>
      </c>
      <c r="X1276" t="s">
        <v>349</v>
      </c>
      <c r="Y1276" t="s">
        <v>697</v>
      </c>
      <c r="Z1276">
        <v>2017</v>
      </c>
      <c r="AB1276">
        <v>12</v>
      </c>
      <c r="AC1276">
        <v>2.78</v>
      </c>
      <c r="AE1276" t="s">
        <v>346</v>
      </c>
      <c r="AF1276">
        <v>46.142674</v>
      </c>
      <c r="AG1276">
        <v>-115.598088</v>
      </c>
      <c r="AH1276">
        <v>15855765</v>
      </c>
    </row>
    <row r="1277" spans="2:34">
      <c r="B1277" t="s">
        <v>345</v>
      </c>
      <c r="C1277" t="s">
        <v>1340</v>
      </c>
      <c r="D1277" s="3">
        <v>42931.425694444442</v>
      </c>
      <c r="F1277">
        <v>2017</v>
      </c>
      <c r="G1277" t="s">
        <v>611</v>
      </c>
      <c r="H1277" t="s">
        <v>352</v>
      </c>
      <c r="J1277">
        <v>0</v>
      </c>
      <c r="L1277">
        <v>6</v>
      </c>
      <c r="O1277" t="s">
        <v>643</v>
      </c>
      <c r="R1277" t="s">
        <v>1341</v>
      </c>
      <c r="U1277">
        <v>25</v>
      </c>
      <c r="V1277">
        <v>25</v>
      </c>
      <c r="W1277" t="s">
        <v>350</v>
      </c>
      <c r="X1277" t="s">
        <v>349</v>
      </c>
      <c r="Y1277" t="s">
        <v>697</v>
      </c>
      <c r="Z1277">
        <v>2017</v>
      </c>
      <c r="AB1277">
        <v>12</v>
      </c>
      <c r="AC1277">
        <v>2.78</v>
      </c>
      <c r="AE1277" t="s">
        <v>346</v>
      </c>
      <c r="AF1277">
        <v>46.142674</v>
      </c>
      <c r="AG1277">
        <v>-115.598088</v>
      </c>
      <c r="AH1277">
        <v>15855766</v>
      </c>
    </row>
    <row r="1278" spans="2:34">
      <c r="B1278" t="s">
        <v>345</v>
      </c>
      <c r="C1278" t="s">
        <v>1340</v>
      </c>
      <c r="D1278" s="3">
        <v>42931.425694444442</v>
      </c>
      <c r="F1278">
        <v>2017</v>
      </c>
      <c r="G1278" t="s">
        <v>574</v>
      </c>
      <c r="H1278" t="s">
        <v>352</v>
      </c>
      <c r="J1278">
        <v>0</v>
      </c>
      <c r="L1278">
        <v>1</v>
      </c>
      <c r="M1278">
        <v>0</v>
      </c>
      <c r="N1278">
        <v>0</v>
      </c>
      <c r="O1278" t="s">
        <v>609</v>
      </c>
      <c r="R1278" t="s">
        <v>1341</v>
      </c>
      <c r="U1278">
        <v>25</v>
      </c>
      <c r="V1278">
        <v>25</v>
      </c>
      <c r="W1278" t="s">
        <v>350</v>
      </c>
      <c r="X1278" t="s">
        <v>349</v>
      </c>
      <c r="Y1278" t="s">
        <v>697</v>
      </c>
      <c r="Z1278">
        <v>2017</v>
      </c>
      <c r="AB1278">
        <v>12</v>
      </c>
      <c r="AC1278">
        <v>2.78</v>
      </c>
      <c r="AE1278" t="s">
        <v>346</v>
      </c>
      <c r="AF1278">
        <v>46.142674</v>
      </c>
      <c r="AG1278">
        <v>-115.598088</v>
      </c>
      <c r="AH1278">
        <v>15855767</v>
      </c>
    </row>
    <row r="1279" spans="2:34">
      <c r="B1279" t="s">
        <v>345</v>
      </c>
      <c r="C1279" t="s">
        <v>1342</v>
      </c>
      <c r="D1279" s="3">
        <v>42895.267361111109</v>
      </c>
      <c r="F1279">
        <v>2017</v>
      </c>
      <c r="G1279" t="s">
        <v>574</v>
      </c>
      <c r="H1279" t="s">
        <v>352</v>
      </c>
      <c r="J1279">
        <v>0</v>
      </c>
      <c r="L1279">
        <v>1</v>
      </c>
      <c r="M1279">
        <v>102</v>
      </c>
      <c r="N1279">
        <v>12</v>
      </c>
      <c r="O1279" t="s">
        <v>575</v>
      </c>
      <c r="Q1279" t="s">
        <v>576</v>
      </c>
      <c r="R1279" t="s">
        <v>608</v>
      </c>
      <c r="U1279">
        <v>10</v>
      </c>
      <c r="V1279">
        <v>10</v>
      </c>
      <c r="W1279" t="s">
        <v>350</v>
      </c>
      <c r="X1279" t="s">
        <v>349</v>
      </c>
      <c r="Y1279" t="s">
        <v>348</v>
      </c>
      <c r="Z1279">
        <v>2017</v>
      </c>
      <c r="AB1279">
        <v>14</v>
      </c>
      <c r="AC1279">
        <v>7.33</v>
      </c>
      <c r="AE1279" t="s">
        <v>346</v>
      </c>
      <c r="AF1279">
        <v>46.142674</v>
      </c>
      <c r="AG1279">
        <v>-115.598088</v>
      </c>
      <c r="AH1279">
        <v>15878910</v>
      </c>
    </row>
    <row r="1280" spans="2:34">
      <c r="B1280" t="s">
        <v>345</v>
      </c>
      <c r="C1280" t="s">
        <v>1342</v>
      </c>
      <c r="D1280" s="3">
        <v>42895.267361111109</v>
      </c>
      <c r="F1280">
        <v>2017</v>
      </c>
      <c r="G1280" t="s">
        <v>574</v>
      </c>
      <c r="H1280" t="s">
        <v>352</v>
      </c>
      <c r="J1280">
        <v>0</v>
      </c>
      <c r="L1280">
        <v>1</v>
      </c>
      <c r="M1280">
        <v>62</v>
      </c>
      <c r="N1280">
        <v>3</v>
      </c>
      <c r="O1280" t="s">
        <v>575</v>
      </c>
      <c r="Q1280" t="s">
        <v>576</v>
      </c>
      <c r="R1280" t="s">
        <v>608</v>
      </c>
      <c r="U1280">
        <v>10</v>
      </c>
      <c r="V1280">
        <v>10</v>
      </c>
      <c r="W1280" t="s">
        <v>350</v>
      </c>
      <c r="X1280" t="s">
        <v>349</v>
      </c>
      <c r="Y1280" t="s">
        <v>348</v>
      </c>
      <c r="Z1280">
        <v>2017</v>
      </c>
      <c r="AB1280">
        <v>14</v>
      </c>
      <c r="AC1280">
        <v>7.33</v>
      </c>
      <c r="AE1280" t="s">
        <v>346</v>
      </c>
      <c r="AF1280">
        <v>46.142674</v>
      </c>
      <c r="AG1280">
        <v>-115.598088</v>
      </c>
      <c r="AH1280">
        <v>15878911</v>
      </c>
    </row>
    <row r="1281" spans="2:35">
      <c r="B1281" t="s">
        <v>345</v>
      </c>
      <c r="C1281" t="s">
        <v>1342</v>
      </c>
      <c r="D1281" s="3">
        <v>42895.267361111109</v>
      </c>
      <c r="F1281">
        <v>2017</v>
      </c>
      <c r="G1281" t="s">
        <v>605</v>
      </c>
      <c r="H1281" t="s">
        <v>352</v>
      </c>
      <c r="J1281">
        <v>0</v>
      </c>
      <c r="L1281">
        <v>1</v>
      </c>
      <c r="M1281">
        <v>75</v>
      </c>
      <c r="N1281">
        <v>4</v>
      </c>
      <c r="O1281" t="s">
        <v>353</v>
      </c>
      <c r="R1281" t="s">
        <v>608</v>
      </c>
      <c r="U1281">
        <v>10</v>
      </c>
      <c r="V1281">
        <v>10</v>
      </c>
      <c r="W1281" t="s">
        <v>350</v>
      </c>
      <c r="X1281" t="s">
        <v>349</v>
      </c>
      <c r="Y1281" t="s">
        <v>348</v>
      </c>
      <c r="Z1281">
        <v>2017</v>
      </c>
      <c r="AB1281">
        <v>14</v>
      </c>
      <c r="AC1281">
        <v>7.33</v>
      </c>
      <c r="AE1281" t="s">
        <v>346</v>
      </c>
      <c r="AF1281">
        <v>46.142674</v>
      </c>
      <c r="AG1281">
        <v>-115.598088</v>
      </c>
      <c r="AH1281">
        <v>15878912</v>
      </c>
    </row>
    <row r="1282" spans="2:35">
      <c r="B1282" t="s">
        <v>345</v>
      </c>
      <c r="C1282" t="s">
        <v>1342</v>
      </c>
      <c r="D1282" s="3">
        <v>42895.267361111109</v>
      </c>
      <c r="F1282">
        <v>2017</v>
      </c>
      <c r="G1282" t="s">
        <v>351</v>
      </c>
      <c r="H1282" t="s">
        <v>352</v>
      </c>
      <c r="J1282">
        <v>0</v>
      </c>
      <c r="L1282">
        <v>1</v>
      </c>
      <c r="M1282">
        <v>120</v>
      </c>
      <c r="N1282">
        <v>4</v>
      </c>
      <c r="O1282" t="s">
        <v>353</v>
      </c>
      <c r="R1282" t="s">
        <v>608</v>
      </c>
      <c r="U1282">
        <v>10</v>
      </c>
      <c r="V1282">
        <v>10</v>
      </c>
      <c r="W1282" t="s">
        <v>350</v>
      </c>
      <c r="X1282" t="s">
        <v>349</v>
      </c>
      <c r="Y1282" t="s">
        <v>348</v>
      </c>
      <c r="Z1282">
        <v>2017</v>
      </c>
      <c r="AB1282">
        <v>14</v>
      </c>
      <c r="AC1282">
        <v>7.33</v>
      </c>
      <c r="AE1282" t="s">
        <v>346</v>
      </c>
      <c r="AF1282">
        <v>46.142674</v>
      </c>
      <c r="AG1282">
        <v>-115.598088</v>
      </c>
      <c r="AH1282">
        <v>15878913</v>
      </c>
    </row>
    <row r="1283" spans="2:35">
      <c r="B1283" t="s">
        <v>345</v>
      </c>
      <c r="C1283" t="s">
        <v>1342</v>
      </c>
      <c r="D1283" s="3">
        <v>42895.267361111109</v>
      </c>
      <c r="F1283">
        <v>2017</v>
      </c>
      <c r="G1283" t="s">
        <v>578</v>
      </c>
      <c r="H1283" t="s">
        <v>352</v>
      </c>
      <c r="J1283">
        <v>0</v>
      </c>
      <c r="L1283">
        <v>1</v>
      </c>
      <c r="M1283">
        <v>114</v>
      </c>
      <c r="N1283">
        <v>16</v>
      </c>
      <c r="O1283" t="s">
        <v>575</v>
      </c>
      <c r="Q1283" t="s">
        <v>1343</v>
      </c>
      <c r="R1283" t="s">
        <v>608</v>
      </c>
      <c r="U1283">
        <v>10</v>
      </c>
      <c r="V1283">
        <v>10</v>
      </c>
      <c r="W1283" t="s">
        <v>350</v>
      </c>
      <c r="X1283" t="s">
        <v>349</v>
      </c>
      <c r="Y1283" t="s">
        <v>348</v>
      </c>
      <c r="Z1283">
        <v>2017</v>
      </c>
      <c r="AB1283">
        <v>14</v>
      </c>
      <c r="AC1283">
        <v>7.33</v>
      </c>
      <c r="AE1283" t="s">
        <v>346</v>
      </c>
      <c r="AF1283">
        <v>46.142674</v>
      </c>
      <c r="AG1283">
        <v>-115.598088</v>
      </c>
      <c r="AH1283">
        <v>15878914</v>
      </c>
      <c r="AI1283">
        <f>17-76541</f>
        <v>-76524</v>
      </c>
    </row>
    <row r="1284" spans="2:35">
      <c r="B1284" t="s">
        <v>345</v>
      </c>
      <c r="C1284" t="s">
        <v>1344</v>
      </c>
      <c r="D1284" s="3">
        <v>42951.412499999999</v>
      </c>
      <c r="F1284">
        <v>2017</v>
      </c>
      <c r="G1284" t="s">
        <v>605</v>
      </c>
      <c r="H1284" t="s">
        <v>352</v>
      </c>
      <c r="J1284">
        <v>0</v>
      </c>
      <c r="L1284">
        <v>1</v>
      </c>
      <c r="M1284">
        <v>0</v>
      </c>
      <c r="N1284">
        <v>0</v>
      </c>
      <c r="O1284" t="s">
        <v>643</v>
      </c>
      <c r="R1284" t="s">
        <v>1345</v>
      </c>
      <c r="U1284">
        <v>25</v>
      </c>
      <c r="V1284">
        <v>25</v>
      </c>
      <c r="W1284" t="s">
        <v>350</v>
      </c>
      <c r="X1284" t="s">
        <v>349</v>
      </c>
      <c r="Y1284" t="s">
        <v>642</v>
      </c>
      <c r="Z1284">
        <v>2017</v>
      </c>
      <c r="AB1284">
        <v>4</v>
      </c>
      <c r="AC1284">
        <v>2.14</v>
      </c>
      <c r="AE1284" t="s">
        <v>346</v>
      </c>
      <c r="AF1284">
        <v>46.142674</v>
      </c>
      <c r="AG1284">
        <v>-115.598088</v>
      </c>
      <c r="AH1284">
        <v>15926274</v>
      </c>
    </row>
    <row r="1285" spans="2:35">
      <c r="B1285" t="s">
        <v>345</v>
      </c>
      <c r="C1285" t="s">
        <v>1344</v>
      </c>
      <c r="D1285" s="3">
        <v>42951.412499999999</v>
      </c>
      <c r="F1285">
        <v>2017</v>
      </c>
      <c r="G1285" t="s">
        <v>605</v>
      </c>
      <c r="H1285" t="s">
        <v>352</v>
      </c>
      <c r="J1285">
        <v>0</v>
      </c>
      <c r="L1285">
        <v>15</v>
      </c>
      <c r="M1285">
        <v>0</v>
      </c>
      <c r="N1285">
        <v>0</v>
      </c>
      <c r="O1285" t="s">
        <v>606</v>
      </c>
      <c r="R1285" t="s">
        <v>1345</v>
      </c>
      <c r="U1285">
        <v>25</v>
      </c>
      <c r="V1285">
        <v>25</v>
      </c>
      <c r="W1285" t="s">
        <v>350</v>
      </c>
      <c r="X1285" t="s">
        <v>349</v>
      </c>
      <c r="Y1285" t="s">
        <v>642</v>
      </c>
      <c r="Z1285">
        <v>2017</v>
      </c>
      <c r="AB1285">
        <v>4</v>
      </c>
      <c r="AC1285">
        <v>2.14</v>
      </c>
      <c r="AE1285" t="s">
        <v>346</v>
      </c>
      <c r="AF1285">
        <v>46.142674</v>
      </c>
      <c r="AG1285">
        <v>-115.598088</v>
      </c>
      <c r="AH1285">
        <v>15926275</v>
      </c>
    </row>
    <row r="1286" spans="2:35">
      <c r="B1286" t="s">
        <v>345</v>
      </c>
      <c r="C1286" t="s">
        <v>1346</v>
      </c>
      <c r="D1286" s="3">
        <v>42806.318055555559</v>
      </c>
      <c r="F1286">
        <v>2017</v>
      </c>
      <c r="G1286" t="s">
        <v>605</v>
      </c>
      <c r="H1286" t="s">
        <v>352</v>
      </c>
      <c r="J1286">
        <v>0</v>
      </c>
      <c r="L1286">
        <v>1</v>
      </c>
      <c r="M1286">
        <v>105</v>
      </c>
      <c r="N1286">
        <v>122</v>
      </c>
      <c r="O1286" t="s">
        <v>353</v>
      </c>
      <c r="U1286">
        <v>4</v>
      </c>
      <c r="V1286">
        <v>4</v>
      </c>
      <c r="W1286" t="s">
        <v>350</v>
      </c>
      <c r="X1286" t="s">
        <v>349</v>
      </c>
      <c r="Y1286" t="s">
        <v>580</v>
      </c>
      <c r="Z1286">
        <v>2017</v>
      </c>
      <c r="AB1286">
        <v>13</v>
      </c>
      <c r="AC1286">
        <v>4.5</v>
      </c>
      <c r="AE1286" t="s">
        <v>346</v>
      </c>
      <c r="AF1286">
        <v>46.142674</v>
      </c>
      <c r="AG1286">
        <v>-115.598088</v>
      </c>
      <c r="AH1286">
        <v>15926903</v>
      </c>
    </row>
    <row r="1287" spans="2:35">
      <c r="B1287" t="s">
        <v>345</v>
      </c>
      <c r="C1287" t="s">
        <v>1347</v>
      </c>
      <c r="D1287" s="3">
        <v>42862.31527777778</v>
      </c>
      <c r="F1287">
        <v>2017</v>
      </c>
      <c r="G1287" t="s">
        <v>578</v>
      </c>
      <c r="H1287" t="s">
        <v>352</v>
      </c>
      <c r="J1287">
        <v>0</v>
      </c>
      <c r="L1287">
        <v>1</v>
      </c>
      <c r="M1287">
        <v>209</v>
      </c>
      <c r="N1287">
        <v>73</v>
      </c>
      <c r="O1287" t="s">
        <v>575</v>
      </c>
      <c r="Q1287" t="s">
        <v>1348</v>
      </c>
      <c r="R1287" t="s">
        <v>1349</v>
      </c>
      <c r="U1287">
        <v>6</v>
      </c>
      <c r="V1287">
        <v>6</v>
      </c>
      <c r="W1287" t="s">
        <v>350</v>
      </c>
      <c r="X1287" t="s">
        <v>349</v>
      </c>
      <c r="Y1287" t="s">
        <v>580</v>
      </c>
      <c r="Z1287">
        <v>2017</v>
      </c>
      <c r="AB1287">
        <v>11</v>
      </c>
      <c r="AC1287">
        <v>7.99</v>
      </c>
      <c r="AE1287" t="s">
        <v>346</v>
      </c>
      <c r="AF1287">
        <v>46.142674</v>
      </c>
      <c r="AG1287">
        <v>-115.598088</v>
      </c>
      <c r="AH1287">
        <v>15972599</v>
      </c>
    </row>
    <row r="1288" spans="2:35">
      <c r="B1288" t="s">
        <v>345</v>
      </c>
      <c r="C1288" t="s">
        <v>1347</v>
      </c>
      <c r="D1288" s="3">
        <v>42862.31527777778</v>
      </c>
      <c r="F1288">
        <v>2017</v>
      </c>
      <c r="G1288" t="s">
        <v>578</v>
      </c>
      <c r="H1288" t="s">
        <v>352</v>
      </c>
      <c r="J1288">
        <v>0</v>
      </c>
      <c r="L1288">
        <v>1</v>
      </c>
      <c r="M1288">
        <v>170</v>
      </c>
      <c r="N1288">
        <v>48</v>
      </c>
      <c r="O1288" t="s">
        <v>575</v>
      </c>
      <c r="Q1288" t="s">
        <v>1350</v>
      </c>
      <c r="R1288" t="s">
        <v>1349</v>
      </c>
      <c r="U1288">
        <v>6</v>
      </c>
      <c r="V1288">
        <v>6</v>
      </c>
      <c r="W1288" t="s">
        <v>350</v>
      </c>
      <c r="X1288" t="s">
        <v>349</v>
      </c>
      <c r="Y1288" t="s">
        <v>580</v>
      </c>
      <c r="Z1288">
        <v>2017</v>
      </c>
      <c r="AB1288">
        <v>11</v>
      </c>
      <c r="AC1288">
        <v>7.99</v>
      </c>
      <c r="AE1288" t="s">
        <v>346</v>
      </c>
      <c r="AF1288">
        <v>46.142674</v>
      </c>
      <c r="AG1288">
        <v>-115.598088</v>
      </c>
      <c r="AH1288">
        <v>15972600</v>
      </c>
    </row>
    <row r="1289" spans="2:35">
      <c r="B1289" t="s">
        <v>345</v>
      </c>
      <c r="C1289" t="s">
        <v>1347</v>
      </c>
      <c r="D1289" s="3">
        <v>42862.31527777778</v>
      </c>
      <c r="F1289">
        <v>2017</v>
      </c>
      <c r="G1289" t="s">
        <v>578</v>
      </c>
      <c r="H1289" t="s">
        <v>352</v>
      </c>
      <c r="J1289">
        <v>0</v>
      </c>
      <c r="L1289">
        <v>1</v>
      </c>
      <c r="M1289">
        <v>184</v>
      </c>
      <c r="N1289">
        <v>59</v>
      </c>
      <c r="O1289" t="s">
        <v>575</v>
      </c>
      <c r="Q1289" t="s">
        <v>1351</v>
      </c>
      <c r="R1289" t="s">
        <v>1349</v>
      </c>
      <c r="U1289">
        <v>6</v>
      </c>
      <c r="V1289">
        <v>6</v>
      </c>
      <c r="W1289" t="s">
        <v>350</v>
      </c>
      <c r="X1289" t="s">
        <v>349</v>
      </c>
      <c r="Y1289" t="s">
        <v>580</v>
      </c>
      <c r="Z1289">
        <v>2017</v>
      </c>
      <c r="AB1289">
        <v>11</v>
      </c>
      <c r="AC1289">
        <v>7.99</v>
      </c>
      <c r="AE1289" t="s">
        <v>346</v>
      </c>
      <c r="AF1289">
        <v>46.142674</v>
      </c>
      <c r="AG1289">
        <v>-115.598088</v>
      </c>
      <c r="AH1289">
        <v>15972601</v>
      </c>
    </row>
    <row r="1290" spans="2:35">
      <c r="B1290" t="s">
        <v>345</v>
      </c>
      <c r="C1290" t="s">
        <v>1347</v>
      </c>
      <c r="D1290" s="3">
        <v>42862.31527777778</v>
      </c>
      <c r="F1290">
        <v>2017</v>
      </c>
      <c r="G1290" t="s">
        <v>574</v>
      </c>
      <c r="H1290" t="s">
        <v>352</v>
      </c>
      <c r="J1290">
        <v>0</v>
      </c>
      <c r="L1290">
        <v>1</v>
      </c>
      <c r="M1290">
        <v>99</v>
      </c>
      <c r="N1290">
        <v>12</v>
      </c>
      <c r="O1290" t="s">
        <v>575</v>
      </c>
      <c r="Q1290" t="s">
        <v>576</v>
      </c>
      <c r="R1290" t="s">
        <v>1349</v>
      </c>
      <c r="U1290">
        <v>6</v>
      </c>
      <c r="V1290">
        <v>6</v>
      </c>
      <c r="W1290" t="s">
        <v>350</v>
      </c>
      <c r="X1290" t="s">
        <v>349</v>
      </c>
      <c r="Y1290" t="s">
        <v>580</v>
      </c>
      <c r="Z1290">
        <v>2017</v>
      </c>
      <c r="AB1290">
        <v>11</v>
      </c>
      <c r="AC1290">
        <v>7.99</v>
      </c>
      <c r="AE1290" t="s">
        <v>346</v>
      </c>
      <c r="AF1290">
        <v>46.142674</v>
      </c>
      <c r="AG1290">
        <v>-115.598088</v>
      </c>
      <c r="AH1290">
        <v>15972602</v>
      </c>
    </row>
    <row r="1291" spans="2:35">
      <c r="B1291" t="s">
        <v>345</v>
      </c>
      <c r="C1291" t="s">
        <v>1347</v>
      </c>
      <c r="D1291" s="3">
        <v>42862.31527777778</v>
      </c>
      <c r="F1291">
        <v>2017</v>
      </c>
      <c r="G1291" t="s">
        <v>578</v>
      </c>
      <c r="H1291" t="s">
        <v>352</v>
      </c>
      <c r="J1291">
        <v>0</v>
      </c>
      <c r="L1291">
        <v>1</v>
      </c>
      <c r="M1291">
        <v>170</v>
      </c>
      <c r="N1291">
        <v>46</v>
      </c>
      <c r="O1291" t="s">
        <v>575</v>
      </c>
      <c r="Q1291" t="s">
        <v>1352</v>
      </c>
      <c r="R1291" t="s">
        <v>1349</v>
      </c>
      <c r="U1291">
        <v>6</v>
      </c>
      <c r="V1291">
        <v>6</v>
      </c>
      <c r="W1291" t="s">
        <v>350</v>
      </c>
      <c r="X1291" t="s">
        <v>349</v>
      </c>
      <c r="Y1291" t="s">
        <v>580</v>
      </c>
      <c r="Z1291">
        <v>2017</v>
      </c>
      <c r="AB1291">
        <v>11</v>
      </c>
      <c r="AC1291">
        <v>7.99</v>
      </c>
      <c r="AE1291" t="s">
        <v>346</v>
      </c>
      <c r="AF1291">
        <v>46.142674</v>
      </c>
      <c r="AG1291">
        <v>-115.598088</v>
      </c>
      <c r="AH1291">
        <v>15972603</v>
      </c>
    </row>
    <row r="1292" spans="2:35">
      <c r="B1292" t="s">
        <v>345</v>
      </c>
      <c r="C1292" t="s">
        <v>1347</v>
      </c>
      <c r="D1292" s="3">
        <v>42862.31527777778</v>
      </c>
      <c r="F1292">
        <v>2017</v>
      </c>
      <c r="G1292" t="s">
        <v>578</v>
      </c>
      <c r="H1292" t="s">
        <v>352</v>
      </c>
      <c r="J1292">
        <v>0</v>
      </c>
      <c r="L1292">
        <v>1</v>
      </c>
      <c r="M1292">
        <v>164</v>
      </c>
      <c r="N1292">
        <v>40</v>
      </c>
      <c r="O1292" t="s">
        <v>575</v>
      </c>
      <c r="Q1292" t="s">
        <v>1353</v>
      </c>
      <c r="R1292" t="s">
        <v>1349</v>
      </c>
      <c r="U1292">
        <v>6</v>
      </c>
      <c r="V1292">
        <v>6</v>
      </c>
      <c r="W1292" t="s">
        <v>350</v>
      </c>
      <c r="X1292" t="s">
        <v>349</v>
      </c>
      <c r="Y1292" t="s">
        <v>580</v>
      </c>
      <c r="Z1292">
        <v>2017</v>
      </c>
      <c r="AB1292">
        <v>11</v>
      </c>
      <c r="AC1292">
        <v>7.99</v>
      </c>
      <c r="AE1292" t="s">
        <v>346</v>
      </c>
      <c r="AF1292">
        <v>46.142674</v>
      </c>
      <c r="AG1292">
        <v>-115.598088</v>
      </c>
      <c r="AH1292">
        <v>15972604</v>
      </c>
    </row>
    <row r="1293" spans="2:35">
      <c r="B1293" t="s">
        <v>345</v>
      </c>
      <c r="C1293" t="s">
        <v>1347</v>
      </c>
      <c r="D1293" s="3">
        <v>42862.31527777778</v>
      </c>
      <c r="F1293">
        <v>2017</v>
      </c>
      <c r="G1293" t="s">
        <v>578</v>
      </c>
      <c r="H1293" t="s">
        <v>352</v>
      </c>
      <c r="J1293">
        <v>0</v>
      </c>
      <c r="L1293">
        <v>1</v>
      </c>
      <c r="M1293">
        <v>156</v>
      </c>
      <c r="N1293">
        <v>34</v>
      </c>
      <c r="O1293" t="s">
        <v>575</v>
      </c>
      <c r="Q1293" t="s">
        <v>1354</v>
      </c>
      <c r="R1293" t="s">
        <v>1349</v>
      </c>
      <c r="U1293">
        <v>6</v>
      </c>
      <c r="V1293">
        <v>6</v>
      </c>
      <c r="W1293" t="s">
        <v>350</v>
      </c>
      <c r="X1293" t="s">
        <v>349</v>
      </c>
      <c r="Y1293" t="s">
        <v>580</v>
      </c>
      <c r="Z1293">
        <v>2017</v>
      </c>
      <c r="AB1293">
        <v>11</v>
      </c>
      <c r="AC1293">
        <v>7.99</v>
      </c>
      <c r="AE1293" t="s">
        <v>346</v>
      </c>
      <c r="AF1293">
        <v>46.142674</v>
      </c>
      <c r="AG1293">
        <v>-115.598088</v>
      </c>
      <c r="AH1293">
        <v>15972605</v>
      </c>
    </row>
    <row r="1294" spans="2:35">
      <c r="B1294" t="s">
        <v>345</v>
      </c>
      <c r="C1294" t="s">
        <v>1340</v>
      </c>
      <c r="D1294" s="3">
        <v>42931.425694444442</v>
      </c>
      <c r="F1294">
        <v>2017</v>
      </c>
      <c r="G1294" t="s">
        <v>743</v>
      </c>
      <c r="H1294" t="s">
        <v>352</v>
      </c>
      <c r="J1294">
        <v>0</v>
      </c>
      <c r="L1294">
        <v>4</v>
      </c>
      <c r="O1294" t="s">
        <v>643</v>
      </c>
      <c r="R1294" t="s">
        <v>1341</v>
      </c>
      <c r="U1294">
        <v>25</v>
      </c>
      <c r="V1294">
        <v>25</v>
      </c>
      <c r="W1294" t="s">
        <v>350</v>
      </c>
      <c r="X1294" t="s">
        <v>349</v>
      </c>
      <c r="Y1294" t="s">
        <v>697</v>
      </c>
      <c r="Z1294">
        <v>2017</v>
      </c>
      <c r="AB1294">
        <v>12</v>
      </c>
      <c r="AC1294">
        <v>2.78</v>
      </c>
      <c r="AE1294" t="s">
        <v>346</v>
      </c>
      <c r="AF1294">
        <v>46.142674</v>
      </c>
      <c r="AG1294">
        <v>-115.598088</v>
      </c>
      <c r="AH1294">
        <v>15855768</v>
      </c>
    </row>
    <row r="1295" spans="2:35">
      <c r="B1295" t="s">
        <v>345</v>
      </c>
      <c r="C1295" t="s">
        <v>1340</v>
      </c>
      <c r="D1295" s="3">
        <v>42931.425694444442</v>
      </c>
      <c r="F1295">
        <v>2017</v>
      </c>
      <c r="G1295" t="s">
        <v>480</v>
      </c>
      <c r="H1295" t="s">
        <v>352</v>
      </c>
      <c r="J1295">
        <v>0</v>
      </c>
      <c r="L1295">
        <v>6</v>
      </c>
      <c r="O1295" t="s">
        <v>643</v>
      </c>
      <c r="R1295" t="s">
        <v>1341</v>
      </c>
      <c r="U1295">
        <v>25</v>
      </c>
      <c r="V1295">
        <v>25</v>
      </c>
      <c r="W1295" t="s">
        <v>350</v>
      </c>
      <c r="X1295" t="s">
        <v>349</v>
      </c>
      <c r="Y1295" t="s">
        <v>697</v>
      </c>
      <c r="Z1295">
        <v>2017</v>
      </c>
      <c r="AB1295">
        <v>12</v>
      </c>
      <c r="AC1295">
        <v>2.78</v>
      </c>
      <c r="AE1295" t="s">
        <v>346</v>
      </c>
      <c r="AF1295">
        <v>46.142674</v>
      </c>
      <c r="AG1295">
        <v>-115.598088</v>
      </c>
      <c r="AH1295">
        <v>15855769</v>
      </c>
    </row>
    <row r="1296" spans="2:35">
      <c r="B1296" t="s">
        <v>345</v>
      </c>
      <c r="C1296" t="s">
        <v>1355</v>
      </c>
      <c r="D1296" s="3">
        <v>42984.388888888891</v>
      </c>
      <c r="F1296">
        <v>2017</v>
      </c>
      <c r="G1296" t="s">
        <v>605</v>
      </c>
      <c r="H1296" t="s">
        <v>352</v>
      </c>
      <c r="J1296">
        <v>0</v>
      </c>
      <c r="L1296">
        <v>30</v>
      </c>
      <c r="M1296">
        <v>0</v>
      </c>
      <c r="N1296">
        <v>0</v>
      </c>
      <c r="O1296" t="s">
        <v>606</v>
      </c>
      <c r="R1296" t="s">
        <v>890</v>
      </c>
      <c r="U1296">
        <v>25</v>
      </c>
      <c r="V1296">
        <v>25</v>
      </c>
      <c r="W1296" t="s">
        <v>350</v>
      </c>
      <c r="X1296" t="s">
        <v>349</v>
      </c>
      <c r="Y1296" t="s">
        <v>642</v>
      </c>
      <c r="Z1296">
        <v>2017</v>
      </c>
      <c r="AB1296">
        <v>4</v>
      </c>
      <c r="AC1296">
        <v>1.76</v>
      </c>
      <c r="AE1296" t="s">
        <v>346</v>
      </c>
      <c r="AF1296">
        <v>46.142674</v>
      </c>
      <c r="AG1296">
        <v>-115.598088</v>
      </c>
      <c r="AH1296">
        <v>15866489</v>
      </c>
    </row>
    <row r="1297" spans="2:34">
      <c r="B1297" t="s">
        <v>345</v>
      </c>
      <c r="C1297" t="s">
        <v>1355</v>
      </c>
      <c r="D1297" s="3">
        <v>42984.388888888891</v>
      </c>
      <c r="F1297">
        <v>2017</v>
      </c>
      <c r="G1297" t="s">
        <v>480</v>
      </c>
      <c r="H1297" t="s">
        <v>352</v>
      </c>
      <c r="J1297">
        <v>0</v>
      </c>
      <c r="L1297">
        <v>1</v>
      </c>
      <c r="M1297">
        <v>0</v>
      </c>
      <c r="N1297">
        <v>0</v>
      </c>
      <c r="O1297" t="s">
        <v>643</v>
      </c>
      <c r="R1297" t="s">
        <v>890</v>
      </c>
      <c r="U1297">
        <v>25</v>
      </c>
      <c r="V1297">
        <v>25</v>
      </c>
      <c r="W1297" t="s">
        <v>350</v>
      </c>
      <c r="X1297" t="s">
        <v>349</v>
      </c>
      <c r="Y1297" t="s">
        <v>642</v>
      </c>
      <c r="Z1297">
        <v>2017</v>
      </c>
      <c r="AB1297">
        <v>4</v>
      </c>
      <c r="AC1297">
        <v>1.76</v>
      </c>
      <c r="AE1297" t="s">
        <v>346</v>
      </c>
      <c r="AF1297">
        <v>46.142674</v>
      </c>
      <c r="AG1297">
        <v>-115.598088</v>
      </c>
      <c r="AH1297">
        <v>15866490</v>
      </c>
    </row>
    <row r="1298" spans="2:34">
      <c r="B1298" t="s">
        <v>345</v>
      </c>
      <c r="C1298" t="s">
        <v>1356</v>
      </c>
      <c r="D1298" s="3">
        <v>42844.320833333331</v>
      </c>
      <c r="F1298">
        <v>2017</v>
      </c>
      <c r="G1298" t="s">
        <v>578</v>
      </c>
      <c r="H1298" t="s">
        <v>352</v>
      </c>
      <c r="J1298">
        <v>0</v>
      </c>
      <c r="L1298">
        <v>1</v>
      </c>
      <c r="M1298">
        <v>150</v>
      </c>
      <c r="N1298">
        <v>30</v>
      </c>
      <c r="O1298" t="s">
        <v>575</v>
      </c>
      <c r="Q1298" t="s">
        <v>1357</v>
      </c>
      <c r="R1298" t="s">
        <v>1358</v>
      </c>
      <c r="U1298">
        <v>6</v>
      </c>
      <c r="V1298">
        <v>6</v>
      </c>
      <c r="W1298" t="s">
        <v>350</v>
      </c>
      <c r="X1298" t="s">
        <v>349</v>
      </c>
      <c r="Y1298" t="s">
        <v>580</v>
      </c>
      <c r="Z1298">
        <v>2017</v>
      </c>
      <c r="AB1298">
        <v>13</v>
      </c>
      <c r="AC1298">
        <v>5.47</v>
      </c>
      <c r="AE1298" t="s">
        <v>346</v>
      </c>
      <c r="AF1298">
        <v>46.142674</v>
      </c>
      <c r="AG1298">
        <v>-115.598088</v>
      </c>
      <c r="AH1298">
        <v>15964663</v>
      </c>
    </row>
    <row r="1299" spans="2:34">
      <c r="B1299" t="s">
        <v>345</v>
      </c>
      <c r="C1299" t="s">
        <v>1356</v>
      </c>
      <c r="D1299" s="3">
        <v>42844.320833333331</v>
      </c>
      <c r="F1299">
        <v>2017</v>
      </c>
      <c r="G1299" t="s">
        <v>578</v>
      </c>
      <c r="H1299" t="s">
        <v>352</v>
      </c>
      <c r="J1299">
        <v>0</v>
      </c>
      <c r="L1299">
        <v>1</v>
      </c>
      <c r="M1299">
        <v>159</v>
      </c>
      <c r="N1299">
        <v>34</v>
      </c>
      <c r="O1299" t="s">
        <v>575</v>
      </c>
      <c r="Q1299" t="s">
        <v>1359</v>
      </c>
      <c r="R1299" t="s">
        <v>1358</v>
      </c>
      <c r="U1299">
        <v>6</v>
      </c>
      <c r="V1299">
        <v>6</v>
      </c>
      <c r="W1299" t="s">
        <v>350</v>
      </c>
      <c r="X1299" t="s">
        <v>349</v>
      </c>
      <c r="Y1299" t="s">
        <v>580</v>
      </c>
      <c r="Z1299">
        <v>2017</v>
      </c>
      <c r="AB1299">
        <v>13</v>
      </c>
      <c r="AC1299">
        <v>5.47</v>
      </c>
      <c r="AE1299" t="s">
        <v>346</v>
      </c>
      <c r="AF1299">
        <v>46.142674</v>
      </c>
      <c r="AG1299">
        <v>-115.598088</v>
      </c>
      <c r="AH1299">
        <v>15964664</v>
      </c>
    </row>
    <row r="1300" spans="2:34">
      <c r="B1300" t="s">
        <v>345</v>
      </c>
      <c r="C1300" t="s">
        <v>1356</v>
      </c>
      <c r="D1300" s="3">
        <v>42844.320833333331</v>
      </c>
      <c r="F1300">
        <v>2017</v>
      </c>
      <c r="G1300" t="s">
        <v>578</v>
      </c>
      <c r="H1300" t="s">
        <v>352</v>
      </c>
      <c r="J1300">
        <v>0</v>
      </c>
      <c r="L1300">
        <v>1</v>
      </c>
      <c r="M1300">
        <v>157</v>
      </c>
      <c r="N1300">
        <v>34</v>
      </c>
      <c r="O1300" t="s">
        <v>575</v>
      </c>
      <c r="Q1300" t="s">
        <v>1360</v>
      </c>
      <c r="R1300" t="s">
        <v>1358</v>
      </c>
      <c r="U1300">
        <v>6</v>
      </c>
      <c r="V1300">
        <v>6</v>
      </c>
      <c r="W1300" t="s">
        <v>350</v>
      </c>
      <c r="X1300" t="s">
        <v>349</v>
      </c>
      <c r="Y1300" t="s">
        <v>580</v>
      </c>
      <c r="Z1300">
        <v>2017</v>
      </c>
      <c r="AB1300">
        <v>13</v>
      </c>
      <c r="AC1300">
        <v>5.47</v>
      </c>
      <c r="AE1300" t="s">
        <v>346</v>
      </c>
      <c r="AF1300">
        <v>46.142674</v>
      </c>
      <c r="AG1300">
        <v>-115.598088</v>
      </c>
      <c r="AH1300">
        <v>15964665</v>
      </c>
    </row>
    <row r="1301" spans="2:34">
      <c r="B1301" t="s">
        <v>345</v>
      </c>
      <c r="C1301" t="s">
        <v>1356</v>
      </c>
      <c r="D1301" s="3">
        <v>42844.320833333331</v>
      </c>
      <c r="F1301">
        <v>2017</v>
      </c>
      <c r="G1301" t="s">
        <v>578</v>
      </c>
      <c r="H1301" t="s">
        <v>352</v>
      </c>
      <c r="J1301">
        <v>0</v>
      </c>
      <c r="L1301">
        <v>1</v>
      </c>
      <c r="M1301">
        <v>202</v>
      </c>
      <c r="N1301">
        <v>66</v>
      </c>
      <c r="O1301" t="s">
        <v>575</v>
      </c>
      <c r="Q1301" t="s">
        <v>1361</v>
      </c>
      <c r="R1301" t="s">
        <v>1358</v>
      </c>
      <c r="U1301">
        <v>6</v>
      </c>
      <c r="V1301">
        <v>6</v>
      </c>
      <c r="W1301" t="s">
        <v>350</v>
      </c>
      <c r="X1301" t="s">
        <v>349</v>
      </c>
      <c r="Y1301" t="s">
        <v>580</v>
      </c>
      <c r="Z1301">
        <v>2017</v>
      </c>
      <c r="AB1301">
        <v>13</v>
      </c>
      <c r="AC1301">
        <v>5.47</v>
      </c>
      <c r="AE1301" t="s">
        <v>346</v>
      </c>
      <c r="AF1301">
        <v>46.142674</v>
      </c>
      <c r="AG1301">
        <v>-115.598088</v>
      </c>
      <c r="AH1301">
        <v>15964666</v>
      </c>
    </row>
    <row r="1302" spans="2:34">
      <c r="B1302" t="s">
        <v>345</v>
      </c>
      <c r="C1302" t="s">
        <v>1356</v>
      </c>
      <c r="D1302" s="3">
        <v>42844.320833333331</v>
      </c>
      <c r="F1302">
        <v>2017</v>
      </c>
      <c r="G1302" t="s">
        <v>578</v>
      </c>
      <c r="H1302" t="s">
        <v>352</v>
      </c>
      <c r="J1302">
        <v>0</v>
      </c>
      <c r="L1302">
        <v>1</v>
      </c>
      <c r="M1302">
        <v>198</v>
      </c>
      <c r="N1302">
        <v>68</v>
      </c>
      <c r="O1302" t="s">
        <v>575</v>
      </c>
      <c r="Q1302" t="s">
        <v>1362</v>
      </c>
      <c r="R1302" t="s">
        <v>1358</v>
      </c>
      <c r="U1302">
        <v>6</v>
      </c>
      <c r="V1302">
        <v>6</v>
      </c>
      <c r="W1302" t="s">
        <v>350</v>
      </c>
      <c r="X1302" t="s">
        <v>349</v>
      </c>
      <c r="Y1302" t="s">
        <v>580</v>
      </c>
      <c r="Z1302">
        <v>2017</v>
      </c>
      <c r="AB1302">
        <v>13</v>
      </c>
      <c r="AC1302">
        <v>5.47</v>
      </c>
      <c r="AE1302" t="s">
        <v>346</v>
      </c>
      <c r="AF1302">
        <v>46.142674</v>
      </c>
      <c r="AG1302">
        <v>-115.598088</v>
      </c>
      <c r="AH1302">
        <v>15964667</v>
      </c>
    </row>
    <row r="1303" spans="2:34">
      <c r="B1303" t="s">
        <v>345</v>
      </c>
      <c r="C1303" t="s">
        <v>1356</v>
      </c>
      <c r="D1303" s="3">
        <v>42844.320833333331</v>
      </c>
      <c r="F1303">
        <v>2017</v>
      </c>
      <c r="G1303" t="s">
        <v>578</v>
      </c>
      <c r="H1303" t="s">
        <v>352</v>
      </c>
      <c r="J1303">
        <v>0</v>
      </c>
      <c r="L1303">
        <v>1</v>
      </c>
      <c r="M1303">
        <v>198</v>
      </c>
      <c r="N1303">
        <v>68</v>
      </c>
      <c r="O1303" t="s">
        <v>575</v>
      </c>
      <c r="Q1303" t="s">
        <v>1363</v>
      </c>
      <c r="R1303" t="s">
        <v>1358</v>
      </c>
      <c r="U1303">
        <v>6</v>
      </c>
      <c r="V1303">
        <v>6</v>
      </c>
      <c r="W1303" t="s">
        <v>350</v>
      </c>
      <c r="X1303" t="s">
        <v>349</v>
      </c>
      <c r="Y1303" t="s">
        <v>580</v>
      </c>
      <c r="Z1303">
        <v>2017</v>
      </c>
      <c r="AB1303">
        <v>13</v>
      </c>
      <c r="AC1303">
        <v>5.47</v>
      </c>
      <c r="AE1303" t="s">
        <v>346</v>
      </c>
      <c r="AF1303">
        <v>46.142674</v>
      </c>
      <c r="AG1303">
        <v>-115.598088</v>
      </c>
      <c r="AH1303">
        <v>15964668</v>
      </c>
    </row>
    <row r="1304" spans="2:34">
      <c r="B1304" t="s">
        <v>345</v>
      </c>
      <c r="C1304" t="s">
        <v>1356</v>
      </c>
      <c r="D1304" s="3">
        <v>42844.320833333331</v>
      </c>
      <c r="F1304">
        <v>2017</v>
      </c>
      <c r="G1304" t="s">
        <v>578</v>
      </c>
      <c r="H1304" t="s">
        <v>352</v>
      </c>
      <c r="J1304">
        <v>0</v>
      </c>
      <c r="L1304">
        <v>1</v>
      </c>
      <c r="M1304">
        <v>194</v>
      </c>
      <c r="N1304">
        <v>58</v>
      </c>
      <c r="O1304" t="s">
        <v>575</v>
      </c>
      <c r="Q1304" t="s">
        <v>1364</v>
      </c>
      <c r="R1304" t="s">
        <v>1358</v>
      </c>
      <c r="U1304">
        <v>6</v>
      </c>
      <c r="V1304">
        <v>6</v>
      </c>
      <c r="W1304" t="s">
        <v>350</v>
      </c>
      <c r="X1304" t="s">
        <v>349</v>
      </c>
      <c r="Y1304" t="s">
        <v>580</v>
      </c>
      <c r="Z1304">
        <v>2017</v>
      </c>
      <c r="AB1304">
        <v>13</v>
      </c>
      <c r="AC1304">
        <v>5.47</v>
      </c>
      <c r="AE1304" t="s">
        <v>346</v>
      </c>
      <c r="AF1304">
        <v>46.142674</v>
      </c>
      <c r="AG1304">
        <v>-115.598088</v>
      </c>
      <c r="AH1304">
        <v>15964669</v>
      </c>
    </row>
    <row r="1305" spans="2:34">
      <c r="B1305" t="s">
        <v>345</v>
      </c>
      <c r="C1305" t="s">
        <v>1356</v>
      </c>
      <c r="D1305" s="3">
        <v>42844.320833333331</v>
      </c>
      <c r="F1305">
        <v>2017</v>
      </c>
      <c r="G1305" t="s">
        <v>578</v>
      </c>
      <c r="H1305" t="s">
        <v>352</v>
      </c>
      <c r="J1305">
        <v>0</v>
      </c>
      <c r="L1305">
        <v>1</v>
      </c>
      <c r="M1305">
        <v>175</v>
      </c>
      <c r="N1305">
        <v>49</v>
      </c>
      <c r="O1305" t="s">
        <v>634</v>
      </c>
      <c r="P1305" t="s">
        <v>635</v>
      </c>
      <c r="Q1305" t="s">
        <v>635</v>
      </c>
      <c r="R1305" t="s">
        <v>1358</v>
      </c>
      <c r="U1305">
        <v>6</v>
      </c>
      <c r="V1305">
        <v>6</v>
      </c>
      <c r="W1305" t="s">
        <v>350</v>
      </c>
      <c r="X1305" t="s">
        <v>349</v>
      </c>
      <c r="Y1305" t="s">
        <v>580</v>
      </c>
      <c r="Z1305">
        <v>2017</v>
      </c>
      <c r="AB1305">
        <v>13</v>
      </c>
      <c r="AC1305">
        <v>5.47</v>
      </c>
      <c r="AE1305" t="s">
        <v>346</v>
      </c>
      <c r="AF1305">
        <v>46.142674</v>
      </c>
      <c r="AG1305">
        <v>-115.598088</v>
      </c>
      <c r="AH1305">
        <v>15964670</v>
      </c>
    </row>
    <row r="1306" spans="2:34">
      <c r="B1306" t="s">
        <v>345</v>
      </c>
      <c r="C1306" t="s">
        <v>1356</v>
      </c>
      <c r="D1306" s="3">
        <v>42844.320833333331</v>
      </c>
      <c r="F1306">
        <v>2017</v>
      </c>
      <c r="G1306" t="s">
        <v>578</v>
      </c>
      <c r="H1306" t="s">
        <v>352</v>
      </c>
      <c r="J1306">
        <v>0</v>
      </c>
      <c r="L1306">
        <v>1</v>
      </c>
      <c r="M1306">
        <v>154</v>
      </c>
      <c r="N1306">
        <v>30</v>
      </c>
      <c r="O1306" t="s">
        <v>575</v>
      </c>
      <c r="P1306" t="s">
        <v>373</v>
      </c>
      <c r="Q1306" t="s">
        <v>1365</v>
      </c>
      <c r="R1306" t="s">
        <v>1358</v>
      </c>
      <c r="U1306">
        <v>6</v>
      </c>
      <c r="V1306">
        <v>6</v>
      </c>
      <c r="W1306" t="s">
        <v>350</v>
      </c>
      <c r="X1306" t="s">
        <v>349</v>
      </c>
      <c r="Y1306" t="s">
        <v>580</v>
      </c>
      <c r="Z1306">
        <v>2017</v>
      </c>
      <c r="AB1306">
        <v>13</v>
      </c>
      <c r="AC1306">
        <v>5.47</v>
      </c>
      <c r="AE1306" t="s">
        <v>346</v>
      </c>
      <c r="AF1306">
        <v>46.142674</v>
      </c>
      <c r="AG1306">
        <v>-115.598088</v>
      </c>
      <c r="AH1306">
        <v>15964671</v>
      </c>
    </row>
    <row r="1307" spans="2:34">
      <c r="B1307" t="s">
        <v>345</v>
      </c>
      <c r="C1307" t="s">
        <v>1356</v>
      </c>
      <c r="D1307" s="3">
        <v>42844.320833333331</v>
      </c>
      <c r="F1307">
        <v>2017</v>
      </c>
      <c r="G1307" t="s">
        <v>578</v>
      </c>
      <c r="H1307" t="s">
        <v>352</v>
      </c>
      <c r="J1307">
        <v>0</v>
      </c>
      <c r="L1307">
        <v>1</v>
      </c>
      <c r="M1307">
        <v>201</v>
      </c>
      <c r="N1307">
        <v>69</v>
      </c>
      <c r="O1307" t="s">
        <v>575</v>
      </c>
      <c r="Q1307" t="s">
        <v>1366</v>
      </c>
      <c r="R1307" t="s">
        <v>1358</v>
      </c>
      <c r="U1307">
        <v>6</v>
      </c>
      <c r="V1307">
        <v>6</v>
      </c>
      <c r="W1307" t="s">
        <v>350</v>
      </c>
      <c r="X1307" t="s">
        <v>349</v>
      </c>
      <c r="Y1307" t="s">
        <v>580</v>
      </c>
      <c r="Z1307">
        <v>2017</v>
      </c>
      <c r="AB1307">
        <v>13</v>
      </c>
      <c r="AC1307">
        <v>5.47</v>
      </c>
      <c r="AE1307" t="s">
        <v>346</v>
      </c>
      <c r="AF1307">
        <v>46.142674</v>
      </c>
      <c r="AG1307">
        <v>-115.598088</v>
      </c>
      <c r="AH1307">
        <v>15964672</v>
      </c>
    </row>
    <row r="1308" spans="2:34">
      <c r="B1308" t="s">
        <v>345</v>
      </c>
      <c r="C1308" t="s">
        <v>1356</v>
      </c>
      <c r="D1308" s="3">
        <v>42844.320833333331</v>
      </c>
      <c r="F1308">
        <v>2017</v>
      </c>
      <c r="G1308" t="s">
        <v>578</v>
      </c>
      <c r="H1308" t="s">
        <v>352</v>
      </c>
      <c r="J1308">
        <v>0</v>
      </c>
      <c r="L1308">
        <v>1</v>
      </c>
      <c r="M1308">
        <v>189</v>
      </c>
      <c r="N1308">
        <v>58</v>
      </c>
      <c r="O1308" t="s">
        <v>575</v>
      </c>
      <c r="Q1308" t="s">
        <v>1367</v>
      </c>
      <c r="R1308" t="s">
        <v>1358</v>
      </c>
      <c r="U1308">
        <v>6</v>
      </c>
      <c r="V1308">
        <v>6</v>
      </c>
      <c r="W1308" t="s">
        <v>350</v>
      </c>
      <c r="X1308" t="s">
        <v>349</v>
      </c>
      <c r="Y1308" t="s">
        <v>580</v>
      </c>
      <c r="Z1308">
        <v>2017</v>
      </c>
      <c r="AB1308">
        <v>13</v>
      </c>
      <c r="AC1308">
        <v>5.47</v>
      </c>
      <c r="AE1308" t="s">
        <v>346</v>
      </c>
      <c r="AF1308">
        <v>46.142674</v>
      </c>
      <c r="AG1308">
        <v>-115.598088</v>
      </c>
      <c r="AH1308">
        <v>15964673</v>
      </c>
    </row>
    <row r="1309" spans="2:34">
      <c r="B1309" t="s">
        <v>345</v>
      </c>
      <c r="C1309" t="s">
        <v>1356</v>
      </c>
      <c r="D1309" s="3">
        <v>42844.320833333331</v>
      </c>
      <c r="F1309">
        <v>2017</v>
      </c>
      <c r="G1309" t="s">
        <v>578</v>
      </c>
      <c r="H1309" t="s">
        <v>352</v>
      </c>
      <c r="J1309">
        <v>0</v>
      </c>
      <c r="L1309">
        <v>1</v>
      </c>
      <c r="M1309">
        <v>169</v>
      </c>
      <c r="N1309">
        <v>39</v>
      </c>
      <c r="O1309" t="s">
        <v>575</v>
      </c>
      <c r="Q1309" t="s">
        <v>1368</v>
      </c>
      <c r="R1309" t="s">
        <v>1358</v>
      </c>
      <c r="U1309">
        <v>6</v>
      </c>
      <c r="V1309">
        <v>6</v>
      </c>
      <c r="W1309" t="s">
        <v>350</v>
      </c>
      <c r="X1309" t="s">
        <v>349</v>
      </c>
      <c r="Y1309" t="s">
        <v>580</v>
      </c>
      <c r="Z1309">
        <v>2017</v>
      </c>
      <c r="AB1309">
        <v>13</v>
      </c>
      <c r="AC1309">
        <v>5.47</v>
      </c>
      <c r="AE1309" t="s">
        <v>346</v>
      </c>
      <c r="AF1309">
        <v>46.142674</v>
      </c>
      <c r="AG1309">
        <v>-115.598088</v>
      </c>
      <c r="AH1309">
        <v>15964674</v>
      </c>
    </row>
    <row r="1310" spans="2:34">
      <c r="B1310" t="s">
        <v>345</v>
      </c>
      <c r="C1310" t="s">
        <v>1369</v>
      </c>
      <c r="D1310" s="3">
        <v>42833.343055555553</v>
      </c>
      <c r="F1310">
        <v>2017</v>
      </c>
      <c r="G1310" t="s">
        <v>578</v>
      </c>
      <c r="H1310" t="s">
        <v>352</v>
      </c>
      <c r="J1310">
        <v>0</v>
      </c>
      <c r="L1310">
        <v>1</v>
      </c>
      <c r="M1310">
        <v>163</v>
      </c>
      <c r="N1310">
        <v>40</v>
      </c>
      <c r="O1310" t="s">
        <v>575</v>
      </c>
      <c r="Q1310" t="s">
        <v>1370</v>
      </c>
      <c r="U1310">
        <v>6</v>
      </c>
      <c r="V1310">
        <v>5</v>
      </c>
      <c r="W1310" t="s">
        <v>350</v>
      </c>
      <c r="X1310" t="s">
        <v>349</v>
      </c>
      <c r="Y1310" t="s">
        <v>580</v>
      </c>
      <c r="Z1310">
        <v>2017</v>
      </c>
      <c r="AB1310">
        <v>14</v>
      </c>
      <c r="AC1310">
        <v>5.93</v>
      </c>
      <c r="AE1310" t="s">
        <v>346</v>
      </c>
      <c r="AF1310">
        <v>46.142674</v>
      </c>
      <c r="AG1310">
        <v>-115.598088</v>
      </c>
      <c r="AH1310">
        <v>15895855</v>
      </c>
    </row>
    <row r="1311" spans="2:34">
      <c r="B1311" t="s">
        <v>345</v>
      </c>
      <c r="C1311" t="s">
        <v>1369</v>
      </c>
      <c r="D1311" s="3">
        <v>42833.343055555553</v>
      </c>
      <c r="F1311">
        <v>2017</v>
      </c>
      <c r="G1311" t="s">
        <v>578</v>
      </c>
      <c r="H1311" t="s">
        <v>352</v>
      </c>
      <c r="J1311">
        <v>0</v>
      </c>
      <c r="L1311">
        <v>1</v>
      </c>
      <c r="M1311">
        <v>175</v>
      </c>
      <c r="N1311">
        <v>51</v>
      </c>
      <c r="O1311" t="s">
        <v>575</v>
      </c>
      <c r="Q1311" t="s">
        <v>1371</v>
      </c>
      <c r="U1311">
        <v>6</v>
      </c>
      <c r="V1311">
        <v>5</v>
      </c>
      <c r="W1311" t="s">
        <v>350</v>
      </c>
      <c r="X1311" t="s">
        <v>349</v>
      </c>
      <c r="Y1311" t="s">
        <v>580</v>
      </c>
      <c r="Z1311">
        <v>2017</v>
      </c>
      <c r="AB1311">
        <v>14</v>
      </c>
      <c r="AC1311">
        <v>5.93</v>
      </c>
      <c r="AE1311" t="s">
        <v>346</v>
      </c>
      <c r="AF1311">
        <v>46.142674</v>
      </c>
      <c r="AG1311">
        <v>-115.598088</v>
      </c>
      <c r="AH1311">
        <v>15895856</v>
      </c>
    </row>
    <row r="1312" spans="2:34">
      <c r="B1312" t="s">
        <v>345</v>
      </c>
      <c r="C1312" t="s">
        <v>1369</v>
      </c>
      <c r="D1312" s="3">
        <v>42833.343055555553</v>
      </c>
      <c r="F1312">
        <v>2017</v>
      </c>
      <c r="G1312" t="s">
        <v>574</v>
      </c>
      <c r="H1312" t="s">
        <v>352</v>
      </c>
      <c r="J1312">
        <v>0</v>
      </c>
      <c r="L1312">
        <v>1</v>
      </c>
      <c r="M1312">
        <v>85</v>
      </c>
      <c r="N1312">
        <v>7</v>
      </c>
      <c r="O1312" t="s">
        <v>681</v>
      </c>
      <c r="P1312" t="s">
        <v>682</v>
      </c>
      <c r="Q1312" t="s">
        <v>1372</v>
      </c>
      <c r="U1312">
        <v>6</v>
      </c>
      <c r="V1312">
        <v>5</v>
      </c>
      <c r="W1312" t="s">
        <v>350</v>
      </c>
      <c r="X1312" t="s">
        <v>349</v>
      </c>
      <c r="Y1312" t="s">
        <v>580</v>
      </c>
      <c r="Z1312">
        <v>2017</v>
      </c>
      <c r="AB1312">
        <v>14</v>
      </c>
      <c r="AC1312">
        <v>5.93</v>
      </c>
      <c r="AE1312" t="s">
        <v>346</v>
      </c>
      <c r="AF1312">
        <v>46.142674</v>
      </c>
      <c r="AG1312">
        <v>-115.598088</v>
      </c>
      <c r="AH1312">
        <v>15895857</v>
      </c>
    </row>
    <row r="1313" spans="2:34">
      <c r="B1313" t="s">
        <v>345</v>
      </c>
      <c r="C1313" t="s">
        <v>1369</v>
      </c>
      <c r="D1313" s="3">
        <v>42833.343055555553</v>
      </c>
      <c r="F1313">
        <v>2017</v>
      </c>
      <c r="G1313" t="s">
        <v>578</v>
      </c>
      <c r="H1313" t="s">
        <v>352</v>
      </c>
      <c r="J1313">
        <v>0</v>
      </c>
      <c r="L1313">
        <v>1</v>
      </c>
      <c r="M1313">
        <v>750</v>
      </c>
      <c r="N1313">
        <v>0</v>
      </c>
      <c r="O1313" t="s">
        <v>1373</v>
      </c>
      <c r="U1313">
        <v>6</v>
      </c>
      <c r="V1313">
        <v>5</v>
      </c>
      <c r="W1313" t="s">
        <v>350</v>
      </c>
      <c r="X1313" t="s">
        <v>349</v>
      </c>
      <c r="Y1313" t="s">
        <v>580</v>
      </c>
      <c r="Z1313">
        <v>2017</v>
      </c>
      <c r="AB1313">
        <v>14</v>
      </c>
      <c r="AC1313">
        <v>5.93</v>
      </c>
      <c r="AE1313" t="s">
        <v>346</v>
      </c>
      <c r="AF1313">
        <v>46.142674</v>
      </c>
      <c r="AG1313">
        <v>-115.598088</v>
      </c>
      <c r="AH1313">
        <v>15895858</v>
      </c>
    </row>
    <row r="1314" spans="2:34">
      <c r="B1314" t="s">
        <v>345</v>
      </c>
      <c r="C1314" t="s">
        <v>1369</v>
      </c>
      <c r="D1314" s="3">
        <v>42833.343055555553</v>
      </c>
      <c r="F1314">
        <v>2017</v>
      </c>
      <c r="G1314" t="s">
        <v>578</v>
      </c>
      <c r="H1314" t="s">
        <v>352</v>
      </c>
      <c r="J1314">
        <v>0</v>
      </c>
      <c r="L1314">
        <v>1</v>
      </c>
      <c r="M1314">
        <v>198</v>
      </c>
      <c r="N1314">
        <v>74</v>
      </c>
      <c r="O1314" t="s">
        <v>575</v>
      </c>
      <c r="Q1314" t="s">
        <v>1374</v>
      </c>
      <c r="U1314">
        <v>6</v>
      </c>
      <c r="V1314">
        <v>5</v>
      </c>
      <c r="W1314" t="s">
        <v>350</v>
      </c>
      <c r="X1314" t="s">
        <v>349</v>
      </c>
      <c r="Y1314" t="s">
        <v>580</v>
      </c>
      <c r="Z1314">
        <v>2017</v>
      </c>
      <c r="AB1314">
        <v>14</v>
      </c>
      <c r="AC1314">
        <v>5.93</v>
      </c>
      <c r="AE1314" t="s">
        <v>346</v>
      </c>
      <c r="AF1314">
        <v>46.142674</v>
      </c>
      <c r="AG1314">
        <v>-115.598088</v>
      </c>
      <c r="AH1314">
        <v>15895859</v>
      </c>
    </row>
    <row r="1315" spans="2:34">
      <c r="B1315" t="s">
        <v>345</v>
      </c>
      <c r="C1315" t="s">
        <v>1375</v>
      </c>
      <c r="D1315" s="3">
        <v>42830.320833333331</v>
      </c>
      <c r="F1315">
        <v>2017</v>
      </c>
      <c r="G1315" t="s">
        <v>574</v>
      </c>
      <c r="H1315" t="s">
        <v>846</v>
      </c>
      <c r="J1315">
        <v>0</v>
      </c>
      <c r="L1315">
        <v>1</v>
      </c>
      <c r="M1315">
        <v>130</v>
      </c>
      <c r="N1315">
        <v>23</v>
      </c>
      <c r="O1315" t="s">
        <v>634</v>
      </c>
      <c r="P1315" t="s">
        <v>635</v>
      </c>
      <c r="Q1315" t="s">
        <v>635</v>
      </c>
      <c r="U1315">
        <v>5</v>
      </c>
      <c r="V1315">
        <v>5</v>
      </c>
      <c r="W1315" t="s">
        <v>350</v>
      </c>
      <c r="X1315" t="s">
        <v>349</v>
      </c>
      <c r="Y1315" t="s">
        <v>580</v>
      </c>
      <c r="Z1315">
        <v>2017</v>
      </c>
      <c r="AB1315">
        <v>13</v>
      </c>
      <c r="AC1315">
        <v>5.4</v>
      </c>
      <c r="AE1315" t="s">
        <v>346</v>
      </c>
      <c r="AF1315">
        <v>46.142674</v>
      </c>
      <c r="AG1315">
        <v>-115.598088</v>
      </c>
      <c r="AH1315">
        <v>15903247</v>
      </c>
    </row>
    <row r="1316" spans="2:34">
      <c r="B1316" t="s">
        <v>345</v>
      </c>
      <c r="C1316" t="s">
        <v>1375</v>
      </c>
      <c r="D1316" s="3">
        <v>42830.320833333331</v>
      </c>
      <c r="F1316">
        <v>2017</v>
      </c>
      <c r="G1316" t="s">
        <v>578</v>
      </c>
      <c r="H1316" t="s">
        <v>352</v>
      </c>
      <c r="J1316">
        <v>0</v>
      </c>
      <c r="L1316">
        <v>1</v>
      </c>
      <c r="M1316">
        <v>165</v>
      </c>
      <c r="N1316">
        <v>41</v>
      </c>
      <c r="O1316" t="s">
        <v>575</v>
      </c>
      <c r="Q1316" t="s">
        <v>1376</v>
      </c>
      <c r="U1316">
        <v>5</v>
      </c>
      <c r="V1316">
        <v>5</v>
      </c>
      <c r="W1316" t="s">
        <v>350</v>
      </c>
      <c r="X1316" t="s">
        <v>349</v>
      </c>
      <c r="Y1316" t="s">
        <v>580</v>
      </c>
      <c r="Z1316">
        <v>2017</v>
      </c>
      <c r="AB1316">
        <v>13</v>
      </c>
      <c r="AC1316">
        <v>5.4</v>
      </c>
      <c r="AE1316" t="s">
        <v>346</v>
      </c>
      <c r="AF1316">
        <v>46.142674</v>
      </c>
      <c r="AG1316">
        <v>-115.598088</v>
      </c>
      <c r="AH1316">
        <v>15903248</v>
      </c>
    </row>
    <row r="1317" spans="2:34">
      <c r="B1317" t="s">
        <v>345</v>
      </c>
      <c r="C1317" t="s">
        <v>1375</v>
      </c>
      <c r="D1317" s="3">
        <v>42830.320833333331</v>
      </c>
      <c r="F1317">
        <v>2017</v>
      </c>
      <c r="G1317" t="s">
        <v>578</v>
      </c>
      <c r="H1317" t="s">
        <v>352</v>
      </c>
      <c r="J1317">
        <v>0</v>
      </c>
      <c r="L1317">
        <v>1</v>
      </c>
      <c r="M1317">
        <v>154</v>
      </c>
      <c r="N1317">
        <v>31</v>
      </c>
      <c r="O1317" t="s">
        <v>575</v>
      </c>
      <c r="Q1317" t="s">
        <v>1377</v>
      </c>
      <c r="U1317">
        <v>5</v>
      </c>
      <c r="V1317">
        <v>5</v>
      </c>
      <c r="W1317" t="s">
        <v>350</v>
      </c>
      <c r="X1317" t="s">
        <v>349</v>
      </c>
      <c r="Y1317" t="s">
        <v>580</v>
      </c>
      <c r="Z1317">
        <v>2017</v>
      </c>
      <c r="AB1317">
        <v>13</v>
      </c>
      <c r="AC1317">
        <v>5.4</v>
      </c>
      <c r="AE1317" t="s">
        <v>346</v>
      </c>
      <c r="AF1317">
        <v>46.142674</v>
      </c>
      <c r="AG1317">
        <v>-115.598088</v>
      </c>
      <c r="AH1317">
        <v>15903249</v>
      </c>
    </row>
    <row r="1318" spans="2:34">
      <c r="B1318" t="s">
        <v>345</v>
      </c>
      <c r="C1318" t="s">
        <v>1375</v>
      </c>
      <c r="D1318" s="3">
        <v>42830.320833333331</v>
      </c>
      <c r="F1318">
        <v>2017</v>
      </c>
      <c r="G1318" t="s">
        <v>574</v>
      </c>
      <c r="H1318" t="s">
        <v>352</v>
      </c>
      <c r="J1318">
        <v>0</v>
      </c>
      <c r="L1318">
        <v>1</v>
      </c>
      <c r="M1318">
        <v>90</v>
      </c>
      <c r="N1318">
        <v>8</v>
      </c>
      <c r="O1318" t="s">
        <v>575</v>
      </c>
      <c r="Q1318" t="s">
        <v>576</v>
      </c>
      <c r="U1318">
        <v>5</v>
      </c>
      <c r="V1318">
        <v>5</v>
      </c>
      <c r="W1318" t="s">
        <v>350</v>
      </c>
      <c r="X1318" t="s">
        <v>349</v>
      </c>
      <c r="Y1318" t="s">
        <v>580</v>
      </c>
      <c r="Z1318">
        <v>2017</v>
      </c>
      <c r="AB1318">
        <v>13</v>
      </c>
      <c r="AC1318">
        <v>5.4</v>
      </c>
      <c r="AE1318" t="s">
        <v>346</v>
      </c>
      <c r="AF1318">
        <v>46.142674</v>
      </c>
      <c r="AG1318">
        <v>-115.598088</v>
      </c>
      <c r="AH1318">
        <v>15903250</v>
      </c>
    </row>
    <row r="1319" spans="2:34">
      <c r="B1319" t="s">
        <v>345</v>
      </c>
      <c r="C1319" t="s">
        <v>1375</v>
      </c>
      <c r="D1319" s="3">
        <v>42830.320833333331</v>
      </c>
      <c r="F1319">
        <v>2017</v>
      </c>
      <c r="G1319" t="s">
        <v>578</v>
      </c>
      <c r="H1319" t="s">
        <v>352</v>
      </c>
      <c r="J1319">
        <v>0</v>
      </c>
      <c r="L1319">
        <v>1</v>
      </c>
      <c r="M1319">
        <v>164</v>
      </c>
      <c r="N1319">
        <v>39</v>
      </c>
      <c r="O1319" t="s">
        <v>575</v>
      </c>
      <c r="Q1319" t="s">
        <v>1378</v>
      </c>
      <c r="U1319">
        <v>5</v>
      </c>
      <c r="V1319">
        <v>5</v>
      </c>
      <c r="W1319" t="s">
        <v>350</v>
      </c>
      <c r="X1319" t="s">
        <v>349</v>
      </c>
      <c r="Y1319" t="s">
        <v>580</v>
      </c>
      <c r="Z1319">
        <v>2017</v>
      </c>
      <c r="AB1319">
        <v>13</v>
      </c>
      <c r="AC1319">
        <v>5.4</v>
      </c>
      <c r="AE1319" t="s">
        <v>346</v>
      </c>
      <c r="AF1319">
        <v>46.142674</v>
      </c>
      <c r="AG1319">
        <v>-115.598088</v>
      </c>
      <c r="AH1319">
        <v>15903251</v>
      </c>
    </row>
    <row r="1320" spans="2:34">
      <c r="B1320" t="s">
        <v>345</v>
      </c>
      <c r="C1320" t="s">
        <v>1375</v>
      </c>
      <c r="D1320" s="3">
        <v>42830.320833333331</v>
      </c>
      <c r="F1320">
        <v>2017</v>
      </c>
      <c r="G1320" t="s">
        <v>605</v>
      </c>
      <c r="H1320" t="s">
        <v>352</v>
      </c>
      <c r="J1320">
        <v>0</v>
      </c>
      <c r="L1320">
        <v>1</v>
      </c>
      <c r="M1320">
        <v>87</v>
      </c>
      <c r="N1320">
        <v>6</v>
      </c>
      <c r="O1320" t="s">
        <v>353</v>
      </c>
      <c r="U1320">
        <v>5</v>
      </c>
      <c r="V1320">
        <v>5</v>
      </c>
      <c r="W1320" t="s">
        <v>350</v>
      </c>
      <c r="X1320" t="s">
        <v>349</v>
      </c>
      <c r="Y1320" t="s">
        <v>580</v>
      </c>
      <c r="Z1320">
        <v>2017</v>
      </c>
      <c r="AB1320">
        <v>13</v>
      </c>
      <c r="AC1320">
        <v>5.4</v>
      </c>
      <c r="AE1320" t="s">
        <v>346</v>
      </c>
      <c r="AF1320">
        <v>46.142674</v>
      </c>
      <c r="AG1320">
        <v>-115.598088</v>
      </c>
      <c r="AH1320">
        <v>15903252</v>
      </c>
    </row>
    <row r="1321" spans="2:34">
      <c r="B1321" t="s">
        <v>345</v>
      </c>
      <c r="C1321" t="s">
        <v>1379</v>
      </c>
      <c r="D1321" s="3">
        <v>42994.479166666664</v>
      </c>
      <c r="F1321">
        <v>2017</v>
      </c>
      <c r="G1321" t="s">
        <v>421</v>
      </c>
      <c r="H1321" t="s">
        <v>352</v>
      </c>
      <c r="J1321">
        <v>0</v>
      </c>
      <c r="L1321">
        <v>1</v>
      </c>
      <c r="M1321">
        <v>323</v>
      </c>
      <c r="N1321">
        <v>0</v>
      </c>
      <c r="O1321" t="s">
        <v>353</v>
      </c>
      <c r="R1321" t="s">
        <v>1380</v>
      </c>
      <c r="U1321">
        <v>16</v>
      </c>
      <c r="V1321">
        <v>16</v>
      </c>
      <c r="W1321" t="s">
        <v>350</v>
      </c>
      <c r="X1321" t="s">
        <v>349</v>
      </c>
      <c r="Y1321" t="s">
        <v>642</v>
      </c>
      <c r="Z1321">
        <v>2017</v>
      </c>
      <c r="AB1321">
        <v>5</v>
      </c>
      <c r="AC1321">
        <v>1.77</v>
      </c>
      <c r="AE1321" t="s">
        <v>346</v>
      </c>
      <c r="AF1321">
        <v>46.142674</v>
      </c>
      <c r="AG1321">
        <v>-115.598088</v>
      </c>
      <c r="AH1321">
        <v>15943016</v>
      </c>
    </row>
    <row r="1322" spans="2:34">
      <c r="B1322" t="s">
        <v>345</v>
      </c>
      <c r="C1322" t="s">
        <v>1379</v>
      </c>
      <c r="D1322" s="3">
        <v>42994.479166666664</v>
      </c>
      <c r="F1322">
        <v>2017</v>
      </c>
      <c r="G1322" t="s">
        <v>482</v>
      </c>
      <c r="H1322" t="s">
        <v>352</v>
      </c>
      <c r="J1322">
        <v>0</v>
      </c>
      <c r="L1322">
        <v>1</v>
      </c>
      <c r="M1322">
        <v>195</v>
      </c>
      <c r="N1322">
        <v>0</v>
      </c>
      <c r="O1322" t="s">
        <v>353</v>
      </c>
      <c r="R1322" t="s">
        <v>1380</v>
      </c>
      <c r="U1322">
        <v>16</v>
      </c>
      <c r="V1322">
        <v>16</v>
      </c>
      <c r="W1322" t="s">
        <v>350</v>
      </c>
      <c r="X1322" t="s">
        <v>349</v>
      </c>
      <c r="Y1322" t="s">
        <v>642</v>
      </c>
      <c r="Z1322">
        <v>2017</v>
      </c>
      <c r="AB1322">
        <v>5</v>
      </c>
      <c r="AC1322">
        <v>1.77</v>
      </c>
      <c r="AE1322" t="s">
        <v>346</v>
      </c>
      <c r="AF1322">
        <v>46.142674</v>
      </c>
      <c r="AG1322">
        <v>-115.598088</v>
      </c>
      <c r="AH1322">
        <v>15943017</v>
      </c>
    </row>
    <row r="1323" spans="2:34">
      <c r="B1323" t="s">
        <v>345</v>
      </c>
      <c r="C1323" t="s">
        <v>1379</v>
      </c>
      <c r="D1323" s="3">
        <v>42994.479166666664</v>
      </c>
      <c r="F1323">
        <v>2017</v>
      </c>
      <c r="G1323" t="s">
        <v>421</v>
      </c>
      <c r="H1323" t="s">
        <v>352</v>
      </c>
      <c r="J1323">
        <v>0</v>
      </c>
      <c r="L1323">
        <v>1</v>
      </c>
      <c r="M1323">
        <v>253</v>
      </c>
      <c r="N1323">
        <v>146</v>
      </c>
      <c r="O1323" t="s">
        <v>353</v>
      </c>
      <c r="R1323" t="s">
        <v>1380</v>
      </c>
      <c r="U1323">
        <v>16</v>
      </c>
      <c r="V1323">
        <v>16</v>
      </c>
      <c r="W1323" t="s">
        <v>350</v>
      </c>
      <c r="X1323" t="s">
        <v>349</v>
      </c>
      <c r="Y1323" t="s">
        <v>642</v>
      </c>
      <c r="Z1323">
        <v>2017</v>
      </c>
      <c r="AB1323">
        <v>5</v>
      </c>
      <c r="AC1323">
        <v>1.77</v>
      </c>
      <c r="AE1323" t="s">
        <v>346</v>
      </c>
      <c r="AF1323">
        <v>46.142674</v>
      </c>
      <c r="AG1323">
        <v>-115.598088</v>
      </c>
      <c r="AH1323">
        <v>15943018</v>
      </c>
    </row>
    <row r="1324" spans="2:34">
      <c r="B1324" t="s">
        <v>345</v>
      </c>
      <c r="C1324" t="s">
        <v>1379</v>
      </c>
      <c r="D1324" s="3">
        <v>42994.479166666664</v>
      </c>
      <c r="F1324">
        <v>2017</v>
      </c>
      <c r="G1324" t="s">
        <v>605</v>
      </c>
      <c r="H1324" t="s">
        <v>352</v>
      </c>
      <c r="J1324">
        <v>0</v>
      </c>
      <c r="L1324">
        <v>15</v>
      </c>
      <c r="M1324">
        <v>0</v>
      </c>
      <c r="N1324">
        <v>0</v>
      </c>
      <c r="O1324" t="s">
        <v>606</v>
      </c>
      <c r="R1324" t="s">
        <v>1380</v>
      </c>
      <c r="U1324">
        <v>16</v>
      </c>
      <c r="V1324">
        <v>16</v>
      </c>
      <c r="W1324" t="s">
        <v>350</v>
      </c>
      <c r="X1324" t="s">
        <v>349</v>
      </c>
      <c r="Y1324" t="s">
        <v>642</v>
      </c>
      <c r="Z1324">
        <v>2017</v>
      </c>
      <c r="AB1324">
        <v>5</v>
      </c>
      <c r="AC1324">
        <v>1.77</v>
      </c>
      <c r="AE1324" t="s">
        <v>346</v>
      </c>
      <c r="AF1324">
        <v>46.142674</v>
      </c>
      <c r="AG1324">
        <v>-115.598088</v>
      </c>
      <c r="AH1324">
        <v>15943019</v>
      </c>
    </row>
    <row r="1325" spans="2:34">
      <c r="B1325" t="s">
        <v>345</v>
      </c>
      <c r="C1325" t="s">
        <v>1381</v>
      </c>
      <c r="D1325" s="3">
        <v>43038.381249999999</v>
      </c>
      <c r="F1325">
        <v>2017</v>
      </c>
      <c r="G1325" t="s">
        <v>574</v>
      </c>
      <c r="H1325" t="s">
        <v>352</v>
      </c>
      <c r="J1325">
        <v>0</v>
      </c>
      <c r="L1325">
        <v>1</v>
      </c>
      <c r="M1325">
        <v>83</v>
      </c>
      <c r="N1325">
        <v>8</v>
      </c>
      <c r="O1325" t="s">
        <v>575</v>
      </c>
      <c r="Q1325" t="s">
        <v>576</v>
      </c>
      <c r="R1325" t="s">
        <v>1382</v>
      </c>
      <c r="U1325">
        <v>4</v>
      </c>
      <c r="V1325">
        <v>4</v>
      </c>
      <c r="W1325" t="s">
        <v>350</v>
      </c>
      <c r="X1325" t="s">
        <v>349</v>
      </c>
      <c r="Y1325" t="s">
        <v>642</v>
      </c>
      <c r="Z1325">
        <v>2017</v>
      </c>
      <c r="AB1325">
        <v>5</v>
      </c>
      <c r="AC1325">
        <v>2.27</v>
      </c>
      <c r="AE1325" t="s">
        <v>346</v>
      </c>
      <c r="AF1325">
        <v>46.142674</v>
      </c>
      <c r="AG1325">
        <v>-115.598088</v>
      </c>
      <c r="AH1325">
        <v>15946514</v>
      </c>
    </row>
    <row r="1326" spans="2:34">
      <c r="B1326" t="s">
        <v>345</v>
      </c>
      <c r="C1326" t="s">
        <v>1383</v>
      </c>
      <c r="D1326" s="3">
        <v>42907.322222222225</v>
      </c>
      <c r="F1326">
        <v>2017</v>
      </c>
      <c r="G1326" t="s">
        <v>605</v>
      </c>
      <c r="H1326" t="s">
        <v>352</v>
      </c>
      <c r="J1326">
        <v>0</v>
      </c>
      <c r="L1326">
        <v>1</v>
      </c>
      <c r="M1326">
        <v>67</v>
      </c>
      <c r="N1326">
        <v>4</v>
      </c>
      <c r="O1326" t="s">
        <v>353</v>
      </c>
      <c r="R1326" t="s">
        <v>1384</v>
      </c>
      <c r="U1326">
        <v>14</v>
      </c>
      <c r="V1326">
        <v>14</v>
      </c>
      <c r="W1326" t="s">
        <v>350</v>
      </c>
      <c r="X1326" t="s">
        <v>349</v>
      </c>
      <c r="Y1326" t="s">
        <v>580</v>
      </c>
      <c r="Z1326">
        <v>2017</v>
      </c>
      <c r="AB1326">
        <v>12</v>
      </c>
      <c r="AC1326">
        <v>5.62</v>
      </c>
      <c r="AE1326" t="s">
        <v>346</v>
      </c>
      <c r="AF1326">
        <v>46.142674</v>
      </c>
      <c r="AG1326">
        <v>-115.598088</v>
      </c>
      <c r="AH1326">
        <v>15995497</v>
      </c>
    </row>
    <row r="1327" spans="2:34">
      <c r="B1327" t="s">
        <v>345</v>
      </c>
      <c r="C1327" t="s">
        <v>1383</v>
      </c>
      <c r="D1327" s="3">
        <v>42907.322222222225</v>
      </c>
      <c r="F1327">
        <v>2017</v>
      </c>
      <c r="G1327" t="s">
        <v>605</v>
      </c>
      <c r="H1327" t="s">
        <v>352</v>
      </c>
      <c r="J1327">
        <v>0</v>
      </c>
      <c r="L1327">
        <v>1</v>
      </c>
      <c r="M1327">
        <v>71</v>
      </c>
      <c r="N1327">
        <v>4</v>
      </c>
      <c r="O1327" t="s">
        <v>353</v>
      </c>
      <c r="R1327" t="s">
        <v>1384</v>
      </c>
      <c r="U1327">
        <v>14</v>
      </c>
      <c r="V1327">
        <v>14</v>
      </c>
      <c r="W1327" t="s">
        <v>350</v>
      </c>
      <c r="X1327" t="s">
        <v>349</v>
      </c>
      <c r="Y1327" t="s">
        <v>580</v>
      </c>
      <c r="Z1327">
        <v>2017</v>
      </c>
      <c r="AB1327">
        <v>12</v>
      </c>
      <c r="AC1327">
        <v>5.62</v>
      </c>
      <c r="AE1327" t="s">
        <v>346</v>
      </c>
      <c r="AF1327">
        <v>46.142674</v>
      </c>
      <c r="AG1327">
        <v>-115.598088</v>
      </c>
      <c r="AH1327">
        <v>15995498</v>
      </c>
    </row>
    <row r="1328" spans="2:34">
      <c r="B1328" t="s">
        <v>345</v>
      </c>
      <c r="C1328" t="s">
        <v>1383</v>
      </c>
      <c r="D1328" s="3">
        <v>42907.322222222225</v>
      </c>
      <c r="F1328">
        <v>2017</v>
      </c>
      <c r="G1328" t="s">
        <v>605</v>
      </c>
      <c r="H1328" t="s">
        <v>352</v>
      </c>
      <c r="J1328">
        <v>0</v>
      </c>
      <c r="L1328">
        <v>1</v>
      </c>
      <c r="M1328">
        <v>63</v>
      </c>
      <c r="N1328">
        <v>3</v>
      </c>
      <c r="O1328" t="s">
        <v>353</v>
      </c>
      <c r="R1328" t="s">
        <v>1384</v>
      </c>
      <c r="U1328">
        <v>14</v>
      </c>
      <c r="V1328">
        <v>14</v>
      </c>
      <c r="W1328" t="s">
        <v>350</v>
      </c>
      <c r="X1328" t="s">
        <v>349</v>
      </c>
      <c r="Y1328" t="s">
        <v>580</v>
      </c>
      <c r="Z1328">
        <v>2017</v>
      </c>
      <c r="AB1328">
        <v>12</v>
      </c>
      <c r="AC1328">
        <v>5.62</v>
      </c>
      <c r="AE1328" t="s">
        <v>346</v>
      </c>
      <c r="AF1328">
        <v>46.142674</v>
      </c>
      <c r="AG1328">
        <v>-115.598088</v>
      </c>
      <c r="AH1328">
        <v>15995499</v>
      </c>
    </row>
    <row r="1329" spans="2:34">
      <c r="B1329" t="s">
        <v>345</v>
      </c>
      <c r="C1329" t="s">
        <v>1309</v>
      </c>
      <c r="D1329" s="3">
        <v>42916.354166666664</v>
      </c>
      <c r="F1329">
        <v>2017</v>
      </c>
      <c r="G1329" t="s">
        <v>480</v>
      </c>
      <c r="H1329" t="s">
        <v>352</v>
      </c>
      <c r="J1329">
        <v>0</v>
      </c>
      <c r="L1329">
        <v>1</v>
      </c>
      <c r="M1329">
        <v>38</v>
      </c>
      <c r="N1329">
        <v>0</v>
      </c>
      <c r="O1329" t="s">
        <v>353</v>
      </c>
      <c r="R1329" t="s">
        <v>1310</v>
      </c>
      <c r="U1329">
        <v>15</v>
      </c>
      <c r="V1329">
        <v>15</v>
      </c>
      <c r="W1329" t="s">
        <v>350</v>
      </c>
      <c r="X1329" t="s">
        <v>349</v>
      </c>
      <c r="Y1329" t="s">
        <v>348</v>
      </c>
      <c r="Z1329">
        <v>2017</v>
      </c>
      <c r="AB1329">
        <v>10</v>
      </c>
      <c r="AC1329">
        <v>4.01</v>
      </c>
      <c r="AE1329" t="s">
        <v>346</v>
      </c>
      <c r="AF1329">
        <v>46.142674</v>
      </c>
      <c r="AG1329">
        <v>-115.598088</v>
      </c>
      <c r="AH1329">
        <v>15779171</v>
      </c>
    </row>
    <row r="1330" spans="2:34">
      <c r="B1330" t="s">
        <v>345</v>
      </c>
      <c r="C1330" t="s">
        <v>1309</v>
      </c>
      <c r="D1330" s="3">
        <v>42916.354166666664</v>
      </c>
      <c r="F1330">
        <v>2017</v>
      </c>
      <c r="G1330" t="s">
        <v>611</v>
      </c>
      <c r="H1330" t="s">
        <v>352</v>
      </c>
      <c r="J1330">
        <v>0</v>
      </c>
      <c r="L1330">
        <v>1</v>
      </c>
      <c r="M1330">
        <v>94</v>
      </c>
      <c r="N1330">
        <v>10</v>
      </c>
      <c r="O1330" t="s">
        <v>353</v>
      </c>
      <c r="R1330" t="s">
        <v>1310</v>
      </c>
      <c r="U1330">
        <v>15</v>
      </c>
      <c r="V1330">
        <v>15</v>
      </c>
      <c r="W1330" t="s">
        <v>350</v>
      </c>
      <c r="X1330" t="s">
        <v>349</v>
      </c>
      <c r="Y1330" t="s">
        <v>348</v>
      </c>
      <c r="Z1330">
        <v>2017</v>
      </c>
      <c r="AB1330">
        <v>10</v>
      </c>
      <c r="AC1330">
        <v>4.01</v>
      </c>
      <c r="AE1330" t="s">
        <v>346</v>
      </c>
      <c r="AF1330">
        <v>46.142674</v>
      </c>
      <c r="AG1330">
        <v>-115.598088</v>
      </c>
      <c r="AH1330">
        <v>15779172</v>
      </c>
    </row>
    <row r="1331" spans="2:34">
      <c r="B1331" t="s">
        <v>345</v>
      </c>
      <c r="C1331" t="s">
        <v>1309</v>
      </c>
      <c r="D1331" s="3">
        <v>42916.354166666664</v>
      </c>
      <c r="F1331">
        <v>2017</v>
      </c>
      <c r="G1331" t="s">
        <v>611</v>
      </c>
      <c r="H1331" t="s">
        <v>352</v>
      </c>
      <c r="J1331">
        <v>0</v>
      </c>
      <c r="L1331">
        <v>1</v>
      </c>
      <c r="M1331">
        <v>88</v>
      </c>
      <c r="N1331">
        <v>10</v>
      </c>
      <c r="O1331" t="s">
        <v>353</v>
      </c>
      <c r="R1331" t="s">
        <v>1310</v>
      </c>
      <c r="U1331">
        <v>15</v>
      </c>
      <c r="V1331">
        <v>15</v>
      </c>
      <c r="W1331" t="s">
        <v>350</v>
      </c>
      <c r="X1331" t="s">
        <v>349</v>
      </c>
      <c r="Y1331" t="s">
        <v>348</v>
      </c>
      <c r="Z1331">
        <v>2017</v>
      </c>
      <c r="AB1331">
        <v>10</v>
      </c>
      <c r="AC1331">
        <v>4.01</v>
      </c>
      <c r="AE1331" t="s">
        <v>346</v>
      </c>
      <c r="AF1331">
        <v>46.142674</v>
      </c>
      <c r="AG1331">
        <v>-115.598088</v>
      </c>
      <c r="AH1331">
        <v>15779173</v>
      </c>
    </row>
    <row r="1332" spans="2:34">
      <c r="B1332" t="s">
        <v>345</v>
      </c>
      <c r="C1332" t="s">
        <v>1309</v>
      </c>
      <c r="D1332" s="3">
        <v>42916.354166666664</v>
      </c>
      <c r="F1332">
        <v>2017</v>
      </c>
      <c r="G1332" t="s">
        <v>611</v>
      </c>
      <c r="H1332" t="s">
        <v>352</v>
      </c>
      <c r="J1332">
        <v>0</v>
      </c>
      <c r="L1332">
        <v>1</v>
      </c>
      <c r="M1332">
        <v>66</v>
      </c>
      <c r="N1332">
        <v>4</v>
      </c>
      <c r="O1332" t="s">
        <v>353</v>
      </c>
      <c r="R1332" t="s">
        <v>1310</v>
      </c>
      <c r="U1332">
        <v>15</v>
      </c>
      <c r="V1332">
        <v>15</v>
      </c>
      <c r="W1332" t="s">
        <v>350</v>
      </c>
      <c r="X1332" t="s">
        <v>349</v>
      </c>
      <c r="Y1332" t="s">
        <v>348</v>
      </c>
      <c r="Z1332">
        <v>2017</v>
      </c>
      <c r="AB1332">
        <v>10</v>
      </c>
      <c r="AC1332">
        <v>4.01</v>
      </c>
      <c r="AE1332" t="s">
        <v>346</v>
      </c>
      <c r="AF1332">
        <v>46.142674</v>
      </c>
      <c r="AG1332">
        <v>-115.598088</v>
      </c>
      <c r="AH1332">
        <v>15779174</v>
      </c>
    </row>
    <row r="1333" spans="2:34">
      <c r="B1333" t="s">
        <v>345</v>
      </c>
      <c r="C1333" t="s">
        <v>1309</v>
      </c>
      <c r="D1333" s="3">
        <v>42916.354166666664</v>
      </c>
      <c r="F1333">
        <v>2017</v>
      </c>
      <c r="G1333" t="s">
        <v>611</v>
      </c>
      <c r="H1333" t="s">
        <v>352</v>
      </c>
      <c r="J1333">
        <v>0</v>
      </c>
      <c r="L1333">
        <v>2</v>
      </c>
      <c r="M1333">
        <v>0</v>
      </c>
      <c r="N1333">
        <v>0</v>
      </c>
      <c r="O1333" t="s">
        <v>643</v>
      </c>
      <c r="R1333" t="s">
        <v>1310</v>
      </c>
      <c r="U1333">
        <v>15</v>
      </c>
      <c r="V1333">
        <v>15</v>
      </c>
      <c r="W1333" t="s">
        <v>350</v>
      </c>
      <c r="X1333" t="s">
        <v>349</v>
      </c>
      <c r="Y1333" t="s">
        <v>348</v>
      </c>
      <c r="Z1333">
        <v>2017</v>
      </c>
      <c r="AB1333">
        <v>10</v>
      </c>
      <c r="AC1333">
        <v>4.01</v>
      </c>
      <c r="AE1333" t="s">
        <v>346</v>
      </c>
      <c r="AF1333">
        <v>46.142674</v>
      </c>
      <c r="AG1333">
        <v>-115.598088</v>
      </c>
      <c r="AH1333">
        <v>15779175</v>
      </c>
    </row>
    <row r="1334" spans="2:34">
      <c r="B1334" t="s">
        <v>345</v>
      </c>
      <c r="C1334" t="s">
        <v>1385</v>
      </c>
      <c r="D1334" s="3">
        <v>43010.631249999999</v>
      </c>
      <c r="F1334">
        <v>2017</v>
      </c>
      <c r="G1334" t="s">
        <v>578</v>
      </c>
      <c r="H1334" t="s">
        <v>352</v>
      </c>
      <c r="J1334">
        <v>0</v>
      </c>
      <c r="L1334">
        <v>1</v>
      </c>
      <c r="M1334">
        <v>185</v>
      </c>
      <c r="N1334">
        <v>75</v>
      </c>
      <c r="O1334" t="s">
        <v>575</v>
      </c>
      <c r="Q1334" t="s">
        <v>576</v>
      </c>
      <c r="R1334" t="s">
        <v>1386</v>
      </c>
      <c r="U1334">
        <v>11</v>
      </c>
      <c r="V1334">
        <v>10.5</v>
      </c>
      <c r="W1334" t="s">
        <v>350</v>
      </c>
      <c r="X1334" t="s">
        <v>349</v>
      </c>
      <c r="Y1334" t="s">
        <v>642</v>
      </c>
      <c r="Z1334">
        <v>2017</v>
      </c>
      <c r="AB1334">
        <v>10</v>
      </c>
      <c r="AC1334">
        <v>2.17</v>
      </c>
      <c r="AE1334" t="s">
        <v>346</v>
      </c>
      <c r="AF1334">
        <v>46.142674</v>
      </c>
      <c r="AG1334">
        <v>-115.598088</v>
      </c>
      <c r="AH1334">
        <v>15990559</v>
      </c>
    </row>
    <row r="1335" spans="2:34">
      <c r="B1335" t="s">
        <v>345</v>
      </c>
      <c r="C1335" t="s">
        <v>1385</v>
      </c>
      <c r="D1335" s="3">
        <v>43010.631249999999</v>
      </c>
      <c r="F1335">
        <v>2017</v>
      </c>
      <c r="G1335" t="s">
        <v>842</v>
      </c>
      <c r="H1335" t="s">
        <v>352</v>
      </c>
      <c r="J1335">
        <v>0</v>
      </c>
      <c r="L1335">
        <v>1</v>
      </c>
      <c r="M1335">
        <v>0</v>
      </c>
      <c r="N1335">
        <v>0</v>
      </c>
      <c r="O1335" t="s">
        <v>643</v>
      </c>
      <c r="R1335" t="s">
        <v>1386</v>
      </c>
      <c r="U1335">
        <v>11</v>
      </c>
      <c r="V1335">
        <v>10.5</v>
      </c>
      <c r="W1335" t="s">
        <v>350</v>
      </c>
      <c r="X1335" t="s">
        <v>349</v>
      </c>
      <c r="Y1335" t="s">
        <v>642</v>
      </c>
      <c r="Z1335">
        <v>2017</v>
      </c>
      <c r="AB1335">
        <v>10</v>
      </c>
      <c r="AC1335">
        <v>2.17</v>
      </c>
      <c r="AE1335" t="s">
        <v>346</v>
      </c>
      <c r="AF1335">
        <v>46.142674</v>
      </c>
      <c r="AG1335">
        <v>-115.598088</v>
      </c>
      <c r="AH1335">
        <v>15990560</v>
      </c>
    </row>
    <row r="1336" spans="2:34">
      <c r="B1336" t="s">
        <v>345</v>
      </c>
      <c r="C1336" t="s">
        <v>1385</v>
      </c>
      <c r="D1336" s="3">
        <v>43010.631249999999</v>
      </c>
      <c r="F1336">
        <v>2017</v>
      </c>
      <c r="G1336" t="s">
        <v>578</v>
      </c>
      <c r="H1336" t="s">
        <v>352</v>
      </c>
      <c r="J1336">
        <v>0</v>
      </c>
      <c r="L1336">
        <v>1</v>
      </c>
      <c r="M1336">
        <v>149</v>
      </c>
      <c r="N1336">
        <v>31</v>
      </c>
      <c r="O1336" t="s">
        <v>575</v>
      </c>
      <c r="Q1336" t="s">
        <v>1387</v>
      </c>
      <c r="R1336" t="s">
        <v>1386</v>
      </c>
      <c r="U1336">
        <v>11</v>
      </c>
      <c r="V1336">
        <v>10.5</v>
      </c>
      <c r="W1336" t="s">
        <v>350</v>
      </c>
      <c r="X1336" t="s">
        <v>349</v>
      </c>
      <c r="Y1336" t="s">
        <v>642</v>
      </c>
      <c r="Z1336">
        <v>2017</v>
      </c>
      <c r="AB1336">
        <v>10</v>
      </c>
      <c r="AC1336">
        <v>2.17</v>
      </c>
      <c r="AE1336" t="s">
        <v>346</v>
      </c>
      <c r="AF1336">
        <v>46.142674</v>
      </c>
      <c r="AG1336">
        <v>-115.598088</v>
      </c>
      <c r="AH1336">
        <v>15990561</v>
      </c>
    </row>
    <row r="1337" spans="2:34">
      <c r="B1337" t="s">
        <v>345</v>
      </c>
      <c r="C1337" t="s">
        <v>1385</v>
      </c>
      <c r="D1337" s="3">
        <v>43010.631249999999</v>
      </c>
      <c r="F1337">
        <v>2017</v>
      </c>
      <c r="G1337" t="s">
        <v>615</v>
      </c>
      <c r="H1337" t="s">
        <v>352</v>
      </c>
      <c r="J1337">
        <v>0</v>
      </c>
      <c r="L1337">
        <v>1</v>
      </c>
      <c r="M1337">
        <v>197</v>
      </c>
      <c r="N1337">
        <v>70</v>
      </c>
      <c r="O1337" t="s">
        <v>353</v>
      </c>
      <c r="R1337" t="s">
        <v>1386</v>
      </c>
      <c r="U1337">
        <v>11</v>
      </c>
      <c r="V1337">
        <v>10.5</v>
      </c>
      <c r="W1337" t="s">
        <v>350</v>
      </c>
      <c r="X1337" t="s">
        <v>349</v>
      </c>
      <c r="Y1337" t="s">
        <v>642</v>
      </c>
      <c r="Z1337">
        <v>2017</v>
      </c>
      <c r="AB1337">
        <v>10</v>
      </c>
      <c r="AC1337">
        <v>2.17</v>
      </c>
      <c r="AE1337" t="s">
        <v>346</v>
      </c>
      <c r="AF1337">
        <v>46.142674</v>
      </c>
      <c r="AG1337">
        <v>-115.598088</v>
      </c>
      <c r="AH1337">
        <v>15990562</v>
      </c>
    </row>
    <row r="1338" spans="2:34">
      <c r="B1338" t="s">
        <v>345</v>
      </c>
      <c r="C1338" t="s">
        <v>1385</v>
      </c>
      <c r="D1338" s="3">
        <v>43010.631249999999</v>
      </c>
      <c r="F1338">
        <v>2017</v>
      </c>
      <c r="G1338" t="s">
        <v>578</v>
      </c>
      <c r="H1338" t="s">
        <v>352</v>
      </c>
      <c r="J1338">
        <v>0</v>
      </c>
      <c r="L1338">
        <v>1</v>
      </c>
      <c r="M1338">
        <v>151</v>
      </c>
      <c r="N1338">
        <v>33</v>
      </c>
      <c r="O1338" t="s">
        <v>575</v>
      </c>
      <c r="Q1338" t="s">
        <v>1388</v>
      </c>
      <c r="R1338" t="s">
        <v>1386</v>
      </c>
      <c r="U1338">
        <v>11</v>
      </c>
      <c r="V1338">
        <v>10.5</v>
      </c>
      <c r="W1338" t="s">
        <v>350</v>
      </c>
      <c r="X1338" t="s">
        <v>349</v>
      </c>
      <c r="Y1338" t="s">
        <v>642</v>
      </c>
      <c r="Z1338">
        <v>2017</v>
      </c>
      <c r="AB1338">
        <v>10</v>
      </c>
      <c r="AC1338">
        <v>2.17</v>
      </c>
      <c r="AE1338" t="s">
        <v>346</v>
      </c>
      <c r="AF1338">
        <v>46.142674</v>
      </c>
      <c r="AG1338">
        <v>-115.598088</v>
      </c>
      <c r="AH1338">
        <v>15990563</v>
      </c>
    </row>
    <row r="1339" spans="2:34">
      <c r="B1339" t="s">
        <v>345</v>
      </c>
      <c r="C1339" t="s">
        <v>1385</v>
      </c>
      <c r="D1339" s="3">
        <v>43010.631249999999</v>
      </c>
      <c r="F1339">
        <v>2017</v>
      </c>
      <c r="G1339" t="s">
        <v>578</v>
      </c>
      <c r="H1339" t="s">
        <v>352</v>
      </c>
      <c r="J1339">
        <v>0</v>
      </c>
      <c r="L1339">
        <v>1</v>
      </c>
      <c r="M1339">
        <v>122</v>
      </c>
      <c r="N1339">
        <v>19</v>
      </c>
      <c r="O1339" t="s">
        <v>575</v>
      </c>
      <c r="Q1339" t="s">
        <v>1389</v>
      </c>
      <c r="R1339" t="s">
        <v>1386</v>
      </c>
      <c r="U1339">
        <v>11</v>
      </c>
      <c r="V1339">
        <v>10.5</v>
      </c>
      <c r="W1339" t="s">
        <v>350</v>
      </c>
      <c r="X1339" t="s">
        <v>349</v>
      </c>
      <c r="Y1339" t="s">
        <v>642</v>
      </c>
      <c r="Z1339">
        <v>2017</v>
      </c>
      <c r="AB1339">
        <v>10</v>
      </c>
      <c r="AC1339">
        <v>2.17</v>
      </c>
      <c r="AE1339" t="s">
        <v>346</v>
      </c>
      <c r="AF1339">
        <v>46.142674</v>
      </c>
      <c r="AG1339">
        <v>-115.598088</v>
      </c>
      <c r="AH1339">
        <v>15990564</v>
      </c>
    </row>
    <row r="1340" spans="2:34">
      <c r="B1340" t="s">
        <v>345</v>
      </c>
      <c r="C1340" t="s">
        <v>1385</v>
      </c>
      <c r="D1340" s="3">
        <v>43010.631249999999</v>
      </c>
      <c r="F1340">
        <v>2017</v>
      </c>
      <c r="G1340" t="s">
        <v>578</v>
      </c>
      <c r="H1340" t="s">
        <v>352</v>
      </c>
      <c r="J1340">
        <v>0</v>
      </c>
      <c r="L1340">
        <v>1</v>
      </c>
      <c r="M1340">
        <v>125</v>
      </c>
      <c r="N1340">
        <v>23</v>
      </c>
      <c r="O1340" t="s">
        <v>575</v>
      </c>
      <c r="Q1340" t="s">
        <v>576</v>
      </c>
      <c r="R1340" t="s">
        <v>1386</v>
      </c>
      <c r="U1340">
        <v>11</v>
      </c>
      <c r="V1340">
        <v>10.5</v>
      </c>
      <c r="W1340" t="s">
        <v>350</v>
      </c>
      <c r="X1340" t="s">
        <v>349</v>
      </c>
      <c r="Y1340" t="s">
        <v>642</v>
      </c>
      <c r="Z1340">
        <v>2017</v>
      </c>
      <c r="AB1340">
        <v>10</v>
      </c>
      <c r="AC1340">
        <v>2.17</v>
      </c>
      <c r="AE1340" t="s">
        <v>346</v>
      </c>
      <c r="AF1340">
        <v>46.142674</v>
      </c>
      <c r="AG1340">
        <v>-115.598088</v>
      </c>
      <c r="AH1340">
        <v>15990565</v>
      </c>
    </row>
    <row r="1341" spans="2:34">
      <c r="B1341" t="s">
        <v>345</v>
      </c>
      <c r="C1341" t="s">
        <v>1385</v>
      </c>
      <c r="D1341" s="3">
        <v>43010.631249999999</v>
      </c>
      <c r="F1341">
        <v>2017</v>
      </c>
      <c r="G1341" t="s">
        <v>578</v>
      </c>
      <c r="H1341" t="s">
        <v>352</v>
      </c>
      <c r="J1341">
        <v>0</v>
      </c>
      <c r="L1341">
        <v>1</v>
      </c>
      <c r="M1341">
        <v>133</v>
      </c>
      <c r="N1341">
        <v>23</v>
      </c>
      <c r="O1341" t="s">
        <v>575</v>
      </c>
      <c r="Q1341" t="s">
        <v>1390</v>
      </c>
      <c r="R1341" t="s">
        <v>1386</v>
      </c>
      <c r="U1341">
        <v>11</v>
      </c>
      <c r="V1341">
        <v>10.5</v>
      </c>
      <c r="W1341" t="s">
        <v>350</v>
      </c>
      <c r="X1341" t="s">
        <v>349</v>
      </c>
      <c r="Y1341" t="s">
        <v>642</v>
      </c>
      <c r="Z1341">
        <v>2017</v>
      </c>
      <c r="AB1341">
        <v>10</v>
      </c>
      <c r="AC1341">
        <v>2.17</v>
      </c>
      <c r="AE1341" t="s">
        <v>346</v>
      </c>
      <c r="AF1341">
        <v>46.142674</v>
      </c>
      <c r="AG1341">
        <v>-115.598088</v>
      </c>
      <c r="AH1341">
        <v>15990566</v>
      </c>
    </row>
    <row r="1342" spans="2:34">
      <c r="B1342" t="s">
        <v>345</v>
      </c>
      <c r="C1342" t="s">
        <v>1385</v>
      </c>
      <c r="D1342" s="3">
        <v>43010.631249999999</v>
      </c>
      <c r="F1342">
        <v>2017</v>
      </c>
      <c r="G1342" t="s">
        <v>578</v>
      </c>
      <c r="H1342" t="s">
        <v>352</v>
      </c>
      <c r="J1342">
        <v>0</v>
      </c>
      <c r="L1342">
        <v>1</v>
      </c>
      <c r="M1342">
        <v>173</v>
      </c>
      <c r="N1342">
        <v>56</v>
      </c>
      <c r="O1342" t="s">
        <v>575</v>
      </c>
      <c r="Q1342" t="s">
        <v>576</v>
      </c>
      <c r="R1342" t="s">
        <v>1386</v>
      </c>
      <c r="U1342">
        <v>11</v>
      </c>
      <c r="V1342">
        <v>10.5</v>
      </c>
      <c r="W1342" t="s">
        <v>350</v>
      </c>
      <c r="X1342" t="s">
        <v>349</v>
      </c>
      <c r="Y1342" t="s">
        <v>642</v>
      </c>
      <c r="Z1342">
        <v>2017</v>
      </c>
      <c r="AB1342">
        <v>10</v>
      </c>
      <c r="AC1342">
        <v>2.17</v>
      </c>
      <c r="AE1342" t="s">
        <v>346</v>
      </c>
      <c r="AF1342">
        <v>46.142674</v>
      </c>
      <c r="AG1342">
        <v>-115.598088</v>
      </c>
      <c r="AH1342">
        <v>15990567</v>
      </c>
    </row>
    <row r="1343" spans="2:34">
      <c r="B1343" t="s">
        <v>345</v>
      </c>
      <c r="C1343" t="s">
        <v>1385</v>
      </c>
      <c r="D1343" s="3">
        <v>43010.631249999999</v>
      </c>
      <c r="F1343">
        <v>2017</v>
      </c>
      <c r="G1343" t="s">
        <v>574</v>
      </c>
      <c r="H1343" t="s">
        <v>352</v>
      </c>
      <c r="J1343">
        <v>0</v>
      </c>
      <c r="L1343">
        <v>1</v>
      </c>
      <c r="M1343">
        <v>82</v>
      </c>
      <c r="N1343">
        <v>6</v>
      </c>
      <c r="O1343" t="s">
        <v>575</v>
      </c>
      <c r="Q1343" t="s">
        <v>576</v>
      </c>
      <c r="R1343" t="s">
        <v>1386</v>
      </c>
      <c r="U1343">
        <v>11</v>
      </c>
      <c r="V1343">
        <v>10.5</v>
      </c>
      <c r="W1343" t="s">
        <v>350</v>
      </c>
      <c r="X1343" t="s">
        <v>349</v>
      </c>
      <c r="Y1343" t="s">
        <v>642</v>
      </c>
      <c r="Z1343">
        <v>2017</v>
      </c>
      <c r="AB1343">
        <v>10</v>
      </c>
      <c r="AC1343">
        <v>2.17</v>
      </c>
      <c r="AE1343" t="s">
        <v>346</v>
      </c>
      <c r="AF1343">
        <v>46.142674</v>
      </c>
      <c r="AG1343">
        <v>-115.598088</v>
      </c>
      <c r="AH1343">
        <v>15990568</v>
      </c>
    </row>
    <row r="1344" spans="2:34">
      <c r="B1344" t="s">
        <v>345</v>
      </c>
      <c r="C1344" t="s">
        <v>1385</v>
      </c>
      <c r="D1344" s="3">
        <v>43010.631249999999</v>
      </c>
      <c r="F1344">
        <v>2017</v>
      </c>
      <c r="G1344" t="s">
        <v>578</v>
      </c>
      <c r="H1344" t="s">
        <v>352</v>
      </c>
      <c r="J1344">
        <v>0</v>
      </c>
      <c r="L1344">
        <v>1</v>
      </c>
      <c r="M1344">
        <v>103</v>
      </c>
      <c r="N1344">
        <v>10</v>
      </c>
      <c r="O1344" t="s">
        <v>575</v>
      </c>
      <c r="Q1344" t="s">
        <v>1391</v>
      </c>
      <c r="R1344" t="s">
        <v>1386</v>
      </c>
      <c r="U1344">
        <v>11</v>
      </c>
      <c r="V1344">
        <v>10.5</v>
      </c>
      <c r="W1344" t="s">
        <v>350</v>
      </c>
      <c r="X1344" t="s">
        <v>349</v>
      </c>
      <c r="Y1344" t="s">
        <v>642</v>
      </c>
      <c r="Z1344">
        <v>2017</v>
      </c>
      <c r="AB1344">
        <v>10</v>
      </c>
      <c r="AC1344">
        <v>2.17</v>
      </c>
      <c r="AE1344" t="s">
        <v>346</v>
      </c>
      <c r="AF1344">
        <v>46.142674</v>
      </c>
      <c r="AG1344">
        <v>-115.598088</v>
      </c>
      <c r="AH1344">
        <v>15990569</v>
      </c>
    </row>
    <row r="1345" spans="2:34">
      <c r="B1345" t="s">
        <v>345</v>
      </c>
      <c r="C1345" t="s">
        <v>1347</v>
      </c>
      <c r="D1345" s="3">
        <v>42862.31527777778</v>
      </c>
      <c r="F1345">
        <v>2017</v>
      </c>
      <c r="G1345" t="s">
        <v>605</v>
      </c>
      <c r="H1345" t="s">
        <v>352</v>
      </c>
      <c r="J1345">
        <v>0</v>
      </c>
      <c r="L1345">
        <v>1</v>
      </c>
      <c r="M1345">
        <v>80</v>
      </c>
      <c r="N1345">
        <v>6</v>
      </c>
      <c r="O1345" t="s">
        <v>353</v>
      </c>
      <c r="R1345" t="s">
        <v>1349</v>
      </c>
      <c r="U1345">
        <v>6</v>
      </c>
      <c r="V1345">
        <v>6</v>
      </c>
      <c r="W1345" t="s">
        <v>350</v>
      </c>
      <c r="X1345" t="s">
        <v>349</v>
      </c>
      <c r="Y1345" t="s">
        <v>580</v>
      </c>
      <c r="Z1345">
        <v>2017</v>
      </c>
      <c r="AB1345">
        <v>11</v>
      </c>
      <c r="AC1345">
        <v>7.99</v>
      </c>
      <c r="AE1345" t="s">
        <v>346</v>
      </c>
      <c r="AF1345">
        <v>46.142674</v>
      </c>
      <c r="AG1345">
        <v>-115.598088</v>
      </c>
      <c r="AH1345">
        <v>15972606</v>
      </c>
    </row>
    <row r="1346" spans="2:34">
      <c r="B1346" t="s">
        <v>345</v>
      </c>
      <c r="C1346" t="s">
        <v>1347</v>
      </c>
      <c r="D1346" s="3">
        <v>42862.31527777778</v>
      </c>
      <c r="F1346">
        <v>2017</v>
      </c>
      <c r="G1346" t="s">
        <v>578</v>
      </c>
      <c r="H1346" t="s">
        <v>352</v>
      </c>
      <c r="J1346">
        <v>0</v>
      </c>
      <c r="L1346">
        <v>1</v>
      </c>
      <c r="M1346">
        <v>176</v>
      </c>
      <c r="N1346">
        <v>53</v>
      </c>
      <c r="O1346" t="s">
        <v>575</v>
      </c>
      <c r="Q1346" t="s">
        <v>1392</v>
      </c>
      <c r="R1346" t="s">
        <v>1349</v>
      </c>
      <c r="U1346">
        <v>6</v>
      </c>
      <c r="V1346">
        <v>6</v>
      </c>
      <c r="W1346" t="s">
        <v>350</v>
      </c>
      <c r="X1346" t="s">
        <v>349</v>
      </c>
      <c r="Y1346" t="s">
        <v>580</v>
      </c>
      <c r="Z1346">
        <v>2017</v>
      </c>
      <c r="AB1346">
        <v>11</v>
      </c>
      <c r="AC1346">
        <v>7.99</v>
      </c>
      <c r="AE1346" t="s">
        <v>346</v>
      </c>
      <c r="AF1346">
        <v>46.142674</v>
      </c>
      <c r="AG1346">
        <v>-115.598088</v>
      </c>
      <c r="AH1346">
        <v>15972607</v>
      </c>
    </row>
    <row r="1347" spans="2:34">
      <c r="B1347" t="s">
        <v>345</v>
      </c>
      <c r="C1347" t="s">
        <v>1347</v>
      </c>
      <c r="D1347" s="3">
        <v>42862.31527777778</v>
      </c>
      <c r="F1347">
        <v>2017</v>
      </c>
      <c r="G1347" t="s">
        <v>578</v>
      </c>
      <c r="H1347" t="s">
        <v>352</v>
      </c>
      <c r="J1347">
        <v>0</v>
      </c>
      <c r="L1347">
        <v>1</v>
      </c>
      <c r="M1347">
        <v>169</v>
      </c>
      <c r="N1347">
        <v>44</v>
      </c>
      <c r="O1347" t="s">
        <v>575</v>
      </c>
      <c r="Q1347" t="s">
        <v>1393</v>
      </c>
      <c r="R1347" t="s">
        <v>1349</v>
      </c>
      <c r="U1347">
        <v>6</v>
      </c>
      <c r="V1347">
        <v>6</v>
      </c>
      <c r="W1347" t="s">
        <v>350</v>
      </c>
      <c r="X1347" t="s">
        <v>349</v>
      </c>
      <c r="Y1347" t="s">
        <v>580</v>
      </c>
      <c r="Z1347">
        <v>2017</v>
      </c>
      <c r="AB1347">
        <v>11</v>
      </c>
      <c r="AC1347">
        <v>7.99</v>
      </c>
      <c r="AE1347" t="s">
        <v>346</v>
      </c>
      <c r="AF1347">
        <v>46.142674</v>
      </c>
      <c r="AG1347">
        <v>-115.598088</v>
      </c>
      <c r="AH1347">
        <v>15972608</v>
      </c>
    </row>
    <row r="1348" spans="2:34">
      <c r="B1348" t="s">
        <v>345</v>
      </c>
      <c r="C1348" t="s">
        <v>1347</v>
      </c>
      <c r="D1348" s="3">
        <v>42862.31527777778</v>
      </c>
      <c r="F1348">
        <v>2017</v>
      </c>
      <c r="G1348" t="s">
        <v>578</v>
      </c>
      <c r="H1348" t="s">
        <v>352</v>
      </c>
      <c r="J1348">
        <v>0</v>
      </c>
      <c r="L1348">
        <v>1</v>
      </c>
      <c r="M1348">
        <v>193</v>
      </c>
      <c r="N1348">
        <v>70</v>
      </c>
      <c r="O1348" t="s">
        <v>575</v>
      </c>
      <c r="Q1348" t="s">
        <v>1394</v>
      </c>
      <c r="R1348" t="s">
        <v>1349</v>
      </c>
      <c r="U1348">
        <v>6</v>
      </c>
      <c r="V1348">
        <v>6</v>
      </c>
      <c r="W1348" t="s">
        <v>350</v>
      </c>
      <c r="X1348" t="s">
        <v>349</v>
      </c>
      <c r="Y1348" t="s">
        <v>580</v>
      </c>
      <c r="Z1348">
        <v>2017</v>
      </c>
      <c r="AB1348">
        <v>11</v>
      </c>
      <c r="AC1348">
        <v>7.99</v>
      </c>
      <c r="AE1348" t="s">
        <v>346</v>
      </c>
      <c r="AF1348">
        <v>46.142674</v>
      </c>
      <c r="AG1348">
        <v>-115.598088</v>
      </c>
      <c r="AH1348">
        <v>15972609</v>
      </c>
    </row>
    <row r="1349" spans="2:34">
      <c r="B1349" t="s">
        <v>345</v>
      </c>
      <c r="C1349" t="s">
        <v>1347</v>
      </c>
      <c r="D1349" s="3">
        <v>42862.31527777778</v>
      </c>
      <c r="F1349">
        <v>2017</v>
      </c>
      <c r="G1349" t="s">
        <v>578</v>
      </c>
      <c r="H1349" t="s">
        <v>352</v>
      </c>
      <c r="J1349">
        <v>0</v>
      </c>
      <c r="L1349">
        <v>1</v>
      </c>
      <c r="M1349">
        <v>192</v>
      </c>
      <c r="N1349">
        <v>61</v>
      </c>
      <c r="O1349" t="s">
        <v>575</v>
      </c>
      <c r="Q1349" t="s">
        <v>1395</v>
      </c>
      <c r="R1349" t="s">
        <v>1349</v>
      </c>
      <c r="U1349">
        <v>6</v>
      </c>
      <c r="V1349">
        <v>6</v>
      </c>
      <c r="W1349" t="s">
        <v>350</v>
      </c>
      <c r="X1349" t="s">
        <v>349</v>
      </c>
      <c r="Y1349" t="s">
        <v>580</v>
      </c>
      <c r="Z1349">
        <v>2017</v>
      </c>
      <c r="AB1349">
        <v>11</v>
      </c>
      <c r="AC1349">
        <v>7.99</v>
      </c>
      <c r="AE1349" t="s">
        <v>346</v>
      </c>
      <c r="AF1349">
        <v>46.142674</v>
      </c>
      <c r="AG1349">
        <v>-115.598088</v>
      </c>
      <c r="AH1349">
        <v>15972610</v>
      </c>
    </row>
    <row r="1350" spans="2:34">
      <c r="B1350" t="s">
        <v>345</v>
      </c>
      <c r="C1350" t="s">
        <v>1347</v>
      </c>
      <c r="D1350" s="3">
        <v>42862.31527777778</v>
      </c>
      <c r="F1350">
        <v>2017</v>
      </c>
      <c r="G1350" t="s">
        <v>578</v>
      </c>
      <c r="H1350" t="s">
        <v>352</v>
      </c>
      <c r="J1350">
        <v>0</v>
      </c>
      <c r="L1350">
        <v>1</v>
      </c>
      <c r="M1350">
        <v>181</v>
      </c>
      <c r="N1350">
        <v>56</v>
      </c>
      <c r="O1350" t="s">
        <v>575</v>
      </c>
      <c r="Q1350" t="s">
        <v>1396</v>
      </c>
      <c r="R1350" t="s">
        <v>1349</v>
      </c>
      <c r="U1350">
        <v>6</v>
      </c>
      <c r="V1350">
        <v>6</v>
      </c>
      <c r="W1350" t="s">
        <v>350</v>
      </c>
      <c r="X1350" t="s">
        <v>349</v>
      </c>
      <c r="Y1350" t="s">
        <v>580</v>
      </c>
      <c r="Z1350">
        <v>2017</v>
      </c>
      <c r="AB1350">
        <v>11</v>
      </c>
      <c r="AC1350">
        <v>7.99</v>
      </c>
      <c r="AE1350" t="s">
        <v>346</v>
      </c>
      <c r="AF1350">
        <v>46.142674</v>
      </c>
      <c r="AG1350">
        <v>-115.598088</v>
      </c>
      <c r="AH1350">
        <v>15972611</v>
      </c>
    </row>
    <row r="1351" spans="2:34">
      <c r="B1351" t="s">
        <v>345</v>
      </c>
      <c r="C1351" t="s">
        <v>1347</v>
      </c>
      <c r="D1351" s="3">
        <v>42862.31527777778</v>
      </c>
      <c r="F1351">
        <v>2017</v>
      </c>
      <c r="G1351" t="s">
        <v>578</v>
      </c>
      <c r="H1351" t="s">
        <v>352</v>
      </c>
      <c r="J1351">
        <v>0</v>
      </c>
      <c r="L1351">
        <v>1</v>
      </c>
      <c r="M1351">
        <v>141</v>
      </c>
      <c r="N1351">
        <v>28</v>
      </c>
      <c r="O1351" t="s">
        <v>575</v>
      </c>
      <c r="Q1351" t="s">
        <v>1397</v>
      </c>
      <c r="R1351" t="s">
        <v>1349</v>
      </c>
      <c r="U1351">
        <v>6</v>
      </c>
      <c r="V1351">
        <v>6</v>
      </c>
      <c r="W1351" t="s">
        <v>350</v>
      </c>
      <c r="X1351" t="s">
        <v>349</v>
      </c>
      <c r="Y1351" t="s">
        <v>580</v>
      </c>
      <c r="Z1351">
        <v>2017</v>
      </c>
      <c r="AB1351">
        <v>11</v>
      </c>
      <c r="AC1351">
        <v>7.99</v>
      </c>
      <c r="AE1351" t="s">
        <v>346</v>
      </c>
      <c r="AF1351">
        <v>46.142674</v>
      </c>
      <c r="AG1351">
        <v>-115.598088</v>
      </c>
      <c r="AH1351">
        <v>15972612</v>
      </c>
    </row>
    <row r="1352" spans="2:34">
      <c r="B1352" t="s">
        <v>345</v>
      </c>
      <c r="C1352" t="s">
        <v>1398</v>
      </c>
      <c r="D1352" s="3">
        <v>42929.467361111114</v>
      </c>
      <c r="F1352">
        <v>2017</v>
      </c>
      <c r="G1352" t="s">
        <v>602</v>
      </c>
      <c r="H1352" t="s">
        <v>352</v>
      </c>
      <c r="J1352">
        <v>0</v>
      </c>
      <c r="L1352">
        <v>1</v>
      </c>
      <c r="M1352">
        <v>0</v>
      </c>
      <c r="N1352">
        <v>0</v>
      </c>
      <c r="O1352" t="s">
        <v>643</v>
      </c>
      <c r="U1352">
        <v>25</v>
      </c>
      <c r="V1352">
        <v>25</v>
      </c>
      <c r="W1352" t="s">
        <v>350</v>
      </c>
      <c r="X1352" t="s">
        <v>349</v>
      </c>
      <c r="Y1352" t="s">
        <v>710</v>
      </c>
      <c r="Z1352">
        <v>2017</v>
      </c>
      <c r="AB1352">
        <v>12</v>
      </c>
      <c r="AC1352">
        <v>2.89</v>
      </c>
      <c r="AE1352" t="s">
        <v>346</v>
      </c>
      <c r="AF1352">
        <v>46.142674</v>
      </c>
      <c r="AG1352">
        <v>-115.598088</v>
      </c>
      <c r="AH1352">
        <v>16019304</v>
      </c>
    </row>
    <row r="1353" spans="2:34">
      <c r="B1353" t="s">
        <v>345</v>
      </c>
      <c r="C1353" t="s">
        <v>1398</v>
      </c>
      <c r="D1353" s="3">
        <v>42929.467361111114</v>
      </c>
      <c r="F1353">
        <v>2017</v>
      </c>
      <c r="G1353" t="s">
        <v>611</v>
      </c>
      <c r="H1353" t="s">
        <v>352</v>
      </c>
      <c r="J1353">
        <v>0</v>
      </c>
      <c r="L1353">
        <v>1</v>
      </c>
      <c r="M1353">
        <v>0</v>
      </c>
      <c r="N1353">
        <v>0</v>
      </c>
      <c r="O1353" t="s">
        <v>643</v>
      </c>
      <c r="U1353">
        <v>25</v>
      </c>
      <c r="V1353">
        <v>25</v>
      </c>
      <c r="W1353" t="s">
        <v>350</v>
      </c>
      <c r="X1353" t="s">
        <v>349</v>
      </c>
      <c r="Y1353" t="s">
        <v>710</v>
      </c>
      <c r="Z1353">
        <v>2017</v>
      </c>
      <c r="AB1353">
        <v>12</v>
      </c>
      <c r="AC1353">
        <v>2.89</v>
      </c>
      <c r="AE1353" t="s">
        <v>346</v>
      </c>
      <c r="AF1353">
        <v>46.142674</v>
      </c>
      <c r="AG1353">
        <v>-115.598088</v>
      </c>
      <c r="AH1353">
        <v>16019305</v>
      </c>
    </row>
    <row r="1354" spans="2:34">
      <c r="B1354" t="s">
        <v>345</v>
      </c>
      <c r="C1354" t="s">
        <v>1398</v>
      </c>
      <c r="D1354" s="3">
        <v>42929.467361111114</v>
      </c>
      <c r="F1354">
        <v>2017</v>
      </c>
      <c r="G1354" t="s">
        <v>574</v>
      </c>
      <c r="H1354" t="s">
        <v>352</v>
      </c>
      <c r="J1354">
        <v>0</v>
      </c>
      <c r="L1354">
        <v>2</v>
      </c>
      <c r="M1354">
        <v>0</v>
      </c>
      <c r="N1354">
        <v>0</v>
      </c>
      <c r="O1354" t="s">
        <v>773</v>
      </c>
      <c r="U1354">
        <v>25</v>
      </c>
      <c r="V1354">
        <v>25</v>
      </c>
      <c r="W1354" t="s">
        <v>350</v>
      </c>
      <c r="X1354" t="s">
        <v>349</v>
      </c>
      <c r="Y1354" t="s">
        <v>710</v>
      </c>
      <c r="Z1354">
        <v>2017</v>
      </c>
      <c r="AB1354">
        <v>12</v>
      </c>
      <c r="AC1354">
        <v>2.89</v>
      </c>
      <c r="AE1354" t="s">
        <v>346</v>
      </c>
      <c r="AF1354">
        <v>46.142674</v>
      </c>
      <c r="AG1354">
        <v>-115.598088</v>
      </c>
      <c r="AH1354">
        <v>16019306</v>
      </c>
    </row>
    <row r="1355" spans="2:34">
      <c r="B1355" t="s">
        <v>345</v>
      </c>
      <c r="C1355" t="s">
        <v>1398</v>
      </c>
      <c r="D1355" s="3">
        <v>42929.467361111114</v>
      </c>
      <c r="F1355">
        <v>2017</v>
      </c>
      <c r="G1355" t="s">
        <v>611</v>
      </c>
      <c r="H1355" t="s">
        <v>352</v>
      </c>
      <c r="J1355">
        <v>0</v>
      </c>
      <c r="L1355">
        <v>1</v>
      </c>
      <c r="M1355">
        <v>0</v>
      </c>
      <c r="N1355">
        <v>0</v>
      </c>
      <c r="O1355" t="s">
        <v>643</v>
      </c>
      <c r="U1355">
        <v>25</v>
      </c>
      <c r="V1355">
        <v>25</v>
      </c>
      <c r="W1355" t="s">
        <v>350</v>
      </c>
      <c r="X1355" t="s">
        <v>349</v>
      </c>
      <c r="Y1355" t="s">
        <v>710</v>
      </c>
      <c r="Z1355">
        <v>2017</v>
      </c>
      <c r="AB1355">
        <v>12</v>
      </c>
      <c r="AC1355">
        <v>2.89</v>
      </c>
      <c r="AE1355" t="s">
        <v>346</v>
      </c>
      <c r="AF1355">
        <v>46.142674</v>
      </c>
      <c r="AG1355">
        <v>-115.598088</v>
      </c>
      <c r="AH1355">
        <v>16019307</v>
      </c>
    </row>
    <row r="1356" spans="2:34">
      <c r="B1356" t="s">
        <v>345</v>
      </c>
      <c r="C1356" t="s">
        <v>1398</v>
      </c>
      <c r="D1356" s="3">
        <v>42929.467361111114</v>
      </c>
      <c r="F1356">
        <v>2017</v>
      </c>
      <c r="G1356" t="s">
        <v>743</v>
      </c>
      <c r="H1356" t="s">
        <v>352</v>
      </c>
      <c r="J1356">
        <v>0</v>
      </c>
      <c r="L1356">
        <v>4</v>
      </c>
      <c r="M1356">
        <v>0</v>
      </c>
      <c r="N1356">
        <v>0</v>
      </c>
      <c r="O1356" t="s">
        <v>643</v>
      </c>
      <c r="U1356">
        <v>25</v>
      </c>
      <c r="V1356">
        <v>25</v>
      </c>
      <c r="W1356" t="s">
        <v>350</v>
      </c>
      <c r="X1356" t="s">
        <v>349</v>
      </c>
      <c r="Y1356" t="s">
        <v>710</v>
      </c>
      <c r="Z1356">
        <v>2017</v>
      </c>
      <c r="AB1356">
        <v>12</v>
      </c>
      <c r="AC1356">
        <v>2.89</v>
      </c>
      <c r="AE1356" t="s">
        <v>346</v>
      </c>
      <c r="AF1356">
        <v>46.142674</v>
      </c>
      <c r="AG1356">
        <v>-115.598088</v>
      </c>
      <c r="AH1356">
        <v>16019308</v>
      </c>
    </row>
    <row r="1357" spans="2:34">
      <c r="B1357" t="s">
        <v>345</v>
      </c>
      <c r="C1357" t="s">
        <v>1398</v>
      </c>
      <c r="D1357" s="3">
        <v>42929.467361111114</v>
      </c>
      <c r="F1357">
        <v>2017</v>
      </c>
      <c r="G1357" t="s">
        <v>578</v>
      </c>
      <c r="H1357" t="s">
        <v>352</v>
      </c>
      <c r="J1357">
        <v>0</v>
      </c>
      <c r="L1357">
        <v>1</v>
      </c>
      <c r="M1357">
        <v>0</v>
      </c>
      <c r="N1357">
        <v>0</v>
      </c>
      <c r="O1357" t="s">
        <v>643</v>
      </c>
      <c r="U1357">
        <v>25</v>
      </c>
      <c r="V1357">
        <v>25</v>
      </c>
      <c r="W1357" t="s">
        <v>350</v>
      </c>
      <c r="X1357" t="s">
        <v>349</v>
      </c>
      <c r="Y1357" t="s">
        <v>710</v>
      </c>
      <c r="Z1357">
        <v>2017</v>
      </c>
      <c r="AB1357">
        <v>12</v>
      </c>
      <c r="AC1357">
        <v>2.89</v>
      </c>
      <c r="AE1357" t="s">
        <v>346</v>
      </c>
      <c r="AF1357">
        <v>46.142674</v>
      </c>
      <c r="AG1357">
        <v>-115.598088</v>
      </c>
      <c r="AH1357">
        <v>16019309</v>
      </c>
    </row>
    <row r="1358" spans="2:34">
      <c r="B1358" t="s">
        <v>345</v>
      </c>
      <c r="C1358" t="s">
        <v>1399</v>
      </c>
      <c r="D1358" s="3">
        <v>43012.440972222219</v>
      </c>
      <c r="F1358">
        <v>2017</v>
      </c>
      <c r="G1358" t="s">
        <v>578</v>
      </c>
      <c r="H1358" t="s">
        <v>352</v>
      </c>
      <c r="J1358">
        <v>0</v>
      </c>
      <c r="L1358">
        <v>1</v>
      </c>
      <c r="M1358">
        <v>137</v>
      </c>
      <c r="N1358">
        <v>27</v>
      </c>
      <c r="O1358" t="s">
        <v>575</v>
      </c>
      <c r="Q1358" t="s">
        <v>1400</v>
      </c>
      <c r="U1358">
        <v>9</v>
      </c>
      <c r="V1358">
        <v>9</v>
      </c>
      <c r="W1358" t="s">
        <v>350</v>
      </c>
      <c r="X1358" t="s">
        <v>349</v>
      </c>
      <c r="Y1358" t="s">
        <v>642</v>
      </c>
      <c r="Z1358">
        <v>2017</v>
      </c>
      <c r="AB1358">
        <v>7</v>
      </c>
      <c r="AC1358">
        <v>2.04</v>
      </c>
      <c r="AE1358" t="s">
        <v>346</v>
      </c>
      <c r="AF1358">
        <v>46.142674</v>
      </c>
      <c r="AG1358">
        <v>-115.598088</v>
      </c>
      <c r="AH1358">
        <v>16024066</v>
      </c>
    </row>
    <row r="1359" spans="2:34">
      <c r="B1359" t="s">
        <v>345</v>
      </c>
      <c r="C1359" t="s">
        <v>1399</v>
      </c>
      <c r="D1359" s="3">
        <v>43012.440972222219</v>
      </c>
      <c r="F1359">
        <v>2017</v>
      </c>
      <c r="G1359" t="s">
        <v>578</v>
      </c>
      <c r="H1359" t="s">
        <v>352</v>
      </c>
      <c r="J1359">
        <v>0</v>
      </c>
      <c r="L1359">
        <v>1</v>
      </c>
      <c r="M1359">
        <v>133</v>
      </c>
      <c r="N1359">
        <v>23</v>
      </c>
      <c r="O1359" t="s">
        <v>575</v>
      </c>
      <c r="Q1359" t="s">
        <v>1401</v>
      </c>
      <c r="U1359">
        <v>9</v>
      </c>
      <c r="V1359">
        <v>9</v>
      </c>
      <c r="W1359" t="s">
        <v>350</v>
      </c>
      <c r="X1359" t="s">
        <v>349</v>
      </c>
      <c r="Y1359" t="s">
        <v>642</v>
      </c>
      <c r="Z1359">
        <v>2017</v>
      </c>
      <c r="AB1359">
        <v>7</v>
      </c>
      <c r="AC1359">
        <v>2.04</v>
      </c>
      <c r="AE1359" t="s">
        <v>346</v>
      </c>
      <c r="AF1359">
        <v>46.142674</v>
      </c>
      <c r="AG1359">
        <v>-115.598088</v>
      </c>
      <c r="AH1359">
        <v>16024067</v>
      </c>
    </row>
    <row r="1360" spans="2:34">
      <c r="B1360" t="s">
        <v>345</v>
      </c>
      <c r="C1360" t="s">
        <v>1399</v>
      </c>
      <c r="D1360" s="3">
        <v>43012.440972222219</v>
      </c>
      <c r="F1360">
        <v>2017</v>
      </c>
      <c r="G1360" t="s">
        <v>602</v>
      </c>
      <c r="H1360" t="s">
        <v>352</v>
      </c>
      <c r="J1360">
        <v>0</v>
      </c>
      <c r="L1360">
        <v>1</v>
      </c>
      <c r="M1360">
        <v>390</v>
      </c>
      <c r="N1360">
        <v>0</v>
      </c>
      <c r="O1360" t="s">
        <v>353</v>
      </c>
      <c r="U1360">
        <v>9</v>
      </c>
      <c r="V1360">
        <v>9</v>
      </c>
      <c r="W1360" t="s">
        <v>350</v>
      </c>
      <c r="X1360" t="s">
        <v>349</v>
      </c>
      <c r="Y1360" t="s">
        <v>642</v>
      </c>
      <c r="Z1360">
        <v>2017</v>
      </c>
      <c r="AB1360">
        <v>7</v>
      </c>
      <c r="AC1360">
        <v>2.04</v>
      </c>
      <c r="AE1360" t="s">
        <v>346</v>
      </c>
      <c r="AF1360">
        <v>46.142674</v>
      </c>
      <c r="AG1360">
        <v>-115.598088</v>
      </c>
      <c r="AH1360">
        <v>16024068</v>
      </c>
    </row>
    <row r="1361" spans="2:35">
      <c r="B1361" t="s">
        <v>345</v>
      </c>
      <c r="C1361" t="s">
        <v>1356</v>
      </c>
      <c r="D1361" s="3">
        <v>42844.320833333331</v>
      </c>
      <c r="F1361">
        <v>2017</v>
      </c>
      <c r="G1361" t="s">
        <v>578</v>
      </c>
      <c r="H1361" t="s">
        <v>352</v>
      </c>
      <c r="J1361">
        <v>0</v>
      </c>
      <c r="L1361">
        <v>1</v>
      </c>
      <c r="M1361">
        <v>201</v>
      </c>
      <c r="N1361">
        <v>68</v>
      </c>
      <c r="O1361" t="s">
        <v>575</v>
      </c>
      <c r="Q1361" t="s">
        <v>1402</v>
      </c>
      <c r="R1361" t="s">
        <v>1358</v>
      </c>
      <c r="U1361">
        <v>6</v>
      </c>
      <c r="V1361">
        <v>6</v>
      </c>
      <c r="W1361" t="s">
        <v>350</v>
      </c>
      <c r="X1361" t="s">
        <v>349</v>
      </c>
      <c r="Y1361" t="s">
        <v>580</v>
      </c>
      <c r="Z1361">
        <v>2017</v>
      </c>
      <c r="AB1361">
        <v>13</v>
      </c>
      <c r="AC1361">
        <v>5.47</v>
      </c>
      <c r="AE1361" t="s">
        <v>346</v>
      </c>
      <c r="AF1361">
        <v>46.142674</v>
      </c>
      <c r="AG1361">
        <v>-115.598088</v>
      </c>
      <c r="AH1361">
        <v>15964675</v>
      </c>
    </row>
    <row r="1362" spans="2:35">
      <c r="B1362" t="s">
        <v>345</v>
      </c>
      <c r="C1362" t="s">
        <v>1356</v>
      </c>
      <c r="D1362" s="3">
        <v>42844.320833333331</v>
      </c>
      <c r="F1362">
        <v>2017</v>
      </c>
      <c r="G1362" t="s">
        <v>578</v>
      </c>
      <c r="H1362" t="s">
        <v>352</v>
      </c>
      <c r="J1362">
        <v>0</v>
      </c>
      <c r="L1362">
        <v>1</v>
      </c>
      <c r="M1362">
        <v>171</v>
      </c>
      <c r="N1362">
        <v>42</v>
      </c>
      <c r="O1362" t="s">
        <v>575</v>
      </c>
      <c r="Q1362" t="s">
        <v>1403</v>
      </c>
      <c r="R1362" t="s">
        <v>1358</v>
      </c>
      <c r="U1362">
        <v>6</v>
      </c>
      <c r="V1362">
        <v>6</v>
      </c>
      <c r="W1362" t="s">
        <v>350</v>
      </c>
      <c r="X1362" t="s">
        <v>349</v>
      </c>
      <c r="Y1362" t="s">
        <v>580</v>
      </c>
      <c r="Z1362">
        <v>2017</v>
      </c>
      <c r="AB1362">
        <v>13</v>
      </c>
      <c r="AC1362">
        <v>5.47</v>
      </c>
      <c r="AE1362" t="s">
        <v>346</v>
      </c>
      <c r="AF1362">
        <v>46.142674</v>
      </c>
      <c r="AG1362">
        <v>-115.598088</v>
      </c>
      <c r="AH1362">
        <v>15964676</v>
      </c>
    </row>
    <row r="1363" spans="2:35">
      <c r="B1363" t="s">
        <v>345</v>
      </c>
      <c r="C1363" t="s">
        <v>1356</v>
      </c>
      <c r="D1363" s="3">
        <v>42844.320833333331</v>
      </c>
      <c r="F1363">
        <v>2017</v>
      </c>
      <c r="G1363" t="s">
        <v>578</v>
      </c>
      <c r="H1363" t="s">
        <v>352</v>
      </c>
      <c r="J1363">
        <v>0</v>
      </c>
      <c r="L1363">
        <v>1</v>
      </c>
      <c r="M1363">
        <v>170</v>
      </c>
      <c r="N1363">
        <v>48</v>
      </c>
      <c r="O1363" t="s">
        <v>575</v>
      </c>
      <c r="Q1363" t="s">
        <v>1404</v>
      </c>
      <c r="R1363" t="s">
        <v>1358</v>
      </c>
      <c r="U1363">
        <v>6</v>
      </c>
      <c r="V1363">
        <v>6</v>
      </c>
      <c r="W1363" t="s">
        <v>350</v>
      </c>
      <c r="X1363" t="s">
        <v>349</v>
      </c>
      <c r="Y1363" t="s">
        <v>580</v>
      </c>
      <c r="Z1363">
        <v>2017</v>
      </c>
      <c r="AB1363">
        <v>13</v>
      </c>
      <c r="AC1363">
        <v>5.47</v>
      </c>
      <c r="AE1363" t="s">
        <v>346</v>
      </c>
      <c r="AF1363">
        <v>46.142674</v>
      </c>
      <c r="AG1363">
        <v>-115.598088</v>
      </c>
      <c r="AH1363">
        <v>15964677</v>
      </c>
    </row>
    <row r="1364" spans="2:35">
      <c r="B1364" t="s">
        <v>345</v>
      </c>
      <c r="C1364" t="s">
        <v>1356</v>
      </c>
      <c r="D1364" s="3">
        <v>42844.320833333331</v>
      </c>
      <c r="F1364">
        <v>2017</v>
      </c>
      <c r="G1364" t="s">
        <v>578</v>
      </c>
      <c r="H1364" t="s">
        <v>352</v>
      </c>
      <c r="J1364">
        <v>0</v>
      </c>
      <c r="L1364">
        <v>1</v>
      </c>
      <c r="M1364">
        <v>198</v>
      </c>
      <c r="N1364">
        <v>67</v>
      </c>
      <c r="O1364" t="s">
        <v>575</v>
      </c>
      <c r="Q1364" t="s">
        <v>1405</v>
      </c>
      <c r="R1364" t="s">
        <v>1358</v>
      </c>
      <c r="U1364">
        <v>6</v>
      </c>
      <c r="V1364">
        <v>6</v>
      </c>
      <c r="W1364" t="s">
        <v>350</v>
      </c>
      <c r="X1364" t="s">
        <v>349</v>
      </c>
      <c r="Y1364" t="s">
        <v>580</v>
      </c>
      <c r="Z1364">
        <v>2017</v>
      </c>
      <c r="AB1364">
        <v>13</v>
      </c>
      <c r="AC1364">
        <v>5.47</v>
      </c>
      <c r="AE1364" t="s">
        <v>346</v>
      </c>
      <c r="AF1364">
        <v>46.142674</v>
      </c>
      <c r="AG1364">
        <v>-115.598088</v>
      </c>
      <c r="AH1364">
        <v>15964678</v>
      </c>
    </row>
    <row r="1365" spans="2:35">
      <c r="B1365" t="s">
        <v>345</v>
      </c>
      <c r="C1365" t="s">
        <v>1356</v>
      </c>
      <c r="D1365" s="3">
        <v>42844.320833333331</v>
      </c>
      <c r="F1365">
        <v>2017</v>
      </c>
      <c r="G1365" t="s">
        <v>578</v>
      </c>
      <c r="H1365" t="s">
        <v>352</v>
      </c>
      <c r="J1365">
        <v>0</v>
      </c>
      <c r="L1365">
        <v>1</v>
      </c>
      <c r="M1365">
        <v>176</v>
      </c>
      <c r="N1365">
        <v>51</v>
      </c>
      <c r="O1365" t="s">
        <v>575</v>
      </c>
      <c r="Q1365" t="s">
        <v>1406</v>
      </c>
      <c r="R1365" t="s">
        <v>1358</v>
      </c>
      <c r="U1365">
        <v>6</v>
      </c>
      <c r="V1365">
        <v>6</v>
      </c>
      <c r="W1365" t="s">
        <v>350</v>
      </c>
      <c r="X1365" t="s">
        <v>349</v>
      </c>
      <c r="Y1365" t="s">
        <v>580</v>
      </c>
      <c r="Z1365">
        <v>2017</v>
      </c>
      <c r="AB1365">
        <v>13</v>
      </c>
      <c r="AC1365">
        <v>5.47</v>
      </c>
      <c r="AE1365" t="s">
        <v>346</v>
      </c>
      <c r="AF1365">
        <v>46.142674</v>
      </c>
      <c r="AG1365">
        <v>-115.598088</v>
      </c>
      <c r="AH1365">
        <v>15964679</v>
      </c>
    </row>
    <row r="1366" spans="2:35">
      <c r="B1366" t="s">
        <v>345</v>
      </c>
      <c r="C1366" t="s">
        <v>1356</v>
      </c>
      <c r="D1366" s="3">
        <v>42844.320833333331</v>
      </c>
      <c r="F1366">
        <v>2017</v>
      </c>
      <c r="G1366" t="s">
        <v>578</v>
      </c>
      <c r="H1366" t="s">
        <v>352</v>
      </c>
      <c r="J1366">
        <v>0</v>
      </c>
      <c r="L1366">
        <v>1</v>
      </c>
      <c r="M1366">
        <v>165</v>
      </c>
      <c r="N1366">
        <v>45</v>
      </c>
      <c r="O1366" t="s">
        <v>575</v>
      </c>
      <c r="Q1366" t="s">
        <v>1407</v>
      </c>
      <c r="R1366" t="s">
        <v>1358</v>
      </c>
      <c r="U1366">
        <v>6</v>
      </c>
      <c r="V1366">
        <v>6</v>
      </c>
      <c r="W1366" t="s">
        <v>350</v>
      </c>
      <c r="X1366" t="s">
        <v>349</v>
      </c>
      <c r="Y1366" t="s">
        <v>580</v>
      </c>
      <c r="Z1366">
        <v>2017</v>
      </c>
      <c r="AB1366">
        <v>13</v>
      </c>
      <c r="AC1366">
        <v>5.47</v>
      </c>
      <c r="AE1366" t="s">
        <v>346</v>
      </c>
      <c r="AF1366">
        <v>46.142674</v>
      </c>
      <c r="AG1366">
        <v>-115.598088</v>
      </c>
      <c r="AH1366">
        <v>15964680</v>
      </c>
    </row>
    <row r="1367" spans="2:35">
      <c r="B1367" t="s">
        <v>345</v>
      </c>
      <c r="C1367" t="s">
        <v>1356</v>
      </c>
      <c r="D1367" s="3">
        <v>42844.320833333331</v>
      </c>
      <c r="F1367">
        <v>2017</v>
      </c>
      <c r="G1367" t="s">
        <v>578</v>
      </c>
      <c r="H1367" t="s">
        <v>352</v>
      </c>
      <c r="J1367">
        <v>0</v>
      </c>
      <c r="L1367">
        <v>1</v>
      </c>
      <c r="M1367">
        <v>194</v>
      </c>
      <c r="N1367">
        <v>65</v>
      </c>
      <c r="O1367" t="s">
        <v>575</v>
      </c>
      <c r="Q1367" t="s">
        <v>1408</v>
      </c>
      <c r="R1367" t="s">
        <v>1358</v>
      </c>
      <c r="U1367">
        <v>6</v>
      </c>
      <c r="V1367">
        <v>6</v>
      </c>
      <c r="W1367" t="s">
        <v>350</v>
      </c>
      <c r="X1367" t="s">
        <v>349</v>
      </c>
      <c r="Y1367" t="s">
        <v>580</v>
      </c>
      <c r="Z1367">
        <v>2017</v>
      </c>
      <c r="AB1367">
        <v>13</v>
      </c>
      <c r="AC1367">
        <v>5.47</v>
      </c>
      <c r="AE1367" t="s">
        <v>346</v>
      </c>
      <c r="AF1367">
        <v>46.142674</v>
      </c>
      <c r="AG1367">
        <v>-115.598088</v>
      </c>
      <c r="AH1367">
        <v>15964681</v>
      </c>
    </row>
    <row r="1368" spans="2:35">
      <c r="B1368" t="s">
        <v>345</v>
      </c>
      <c r="C1368" t="s">
        <v>1356</v>
      </c>
      <c r="D1368" s="3">
        <v>42844.320833333331</v>
      </c>
      <c r="F1368">
        <v>2017</v>
      </c>
      <c r="G1368" t="s">
        <v>578</v>
      </c>
      <c r="H1368" t="s">
        <v>352</v>
      </c>
      <c r="J1368">
        <v>0</v>
      </c>
      <c r="L1368">
        <v>1</v>
      </c>
      <c r="M1368">
        <v>204</v>
      </c>
      <c r="N1368">
        <v>77</v>
      </c>
      <c r="O1368" t="s">
        <v>575</v>
      </c>
      <c r="Q1368" t="s">
        <v>1409</v>
      </c>
      <c r="R1368" t="s">
        <v>1358</v>
      </c>
      <c r="U1368">
        <v>6</v>
      </c>
      <c r="V1368">
        <v>6</v>
      </c>
      <c r="W1368" t="s">
        <v>350</v>
      </c>
      <c r="X1368" t="s">
        <v>349</v>
      </c>
      <c r="Y1368" t="s">
        <v>580</v>
      </c>
      <c r="Z1368">
        <v>2017</v>
      </c>
      <c r="AB1368">
        <v>13</v>
      </c>
      <c r="AC1368">
        <v>5.47</v>
      </c>
      <c r="AE1368" t="s">
        <v>346</v>
      </c>
      <c r="AF1368">
        <v>46.142674</v>
      </c>
      <c r="AG1368">
        <v>-115.598088</v>
      </c>
      <c r="AH1368">
        <v>15964682</v>
      </c>
    </row>
    <row r="1369" spans="2:35">
      <c r="B1369" t="s">
        <v>345</v>
      </c>
      <c r="C1369" t="s">
        <v>1356</v>
      </c>
      <c r="D1369" s="3">
        <v>42844.320833333331</v>
      </c>
      <c r="F1369">
        <v>2017</v>
      </c>
      <c r="G1369" t="s">
        <v>578</v>
      </c>
      <c r="H1369" t="s">
        <v>352</v>
      </c>
      <c r="J1369">
        <v>0</v>
      </c>
      <c r="L1369">
        <v>1</v>
      </c>
      <c r="M1369">
        <v>166</v>
      </c>
      <c r="N1369">
        <v>39</v>
      </c>
      <c r="O1369" t="s">
        <v>575</v>
      </c>
      <c r="Q1369" t="s">
        <v>1410</v>
      </c>
      <c r="R1369" t="s">
        <v>1358</v>
      </c>
      <c r="U1369">
        <v>6</v>
      </c>
      <c r="V1369">
        <v>6</v>
      </c>
      <c r="W1369" t="s">
        <v>350</v>
      </c>
      <c r="X1369" t="s">
        <v>349</v>
      </c>
      <c r="Y1369" t="s">
        <v>580</v>
      </c>
      <c r="Z1369">
        <v>2017</v>
      </c>
      <c r="AB1369">
        <v>13</v>
      </c>
      <c r="AC1369">
        <v>5.47</v>
      </c>
      <c r="AE1369" t="s">
        <v>346</v>
      </c>
      <c r="AF1369">
        <v>46.142674</v>
      </c>
      <c r="AG1369">
        <v>-115.598088</v>
      </c>
      <c r="AH1369">
        <v>15964683</v>
      </c>
    </row>
    <row r="1370" spans="2:35">
      <c r="B1370" t="s">
        <v>345</v>
      </c>
      <c r="C1370" t="s">
        <v>1411</v>
      </c>
      <c r="D1370" s="3">
        <v>42945.658333333333</v>
      </c>
      <c r="F1370">
        <v>2017</v>
      </c>
      <c r="G1370" t="s">
        <v>611</v>
      </c>
      <c r="H1370" t="s">
        <v>352</v>
      </c>
      <c r="J1370">
        <v>0</v>
      </c>
      <c r="L1370">
        <v>1</v>
      </c>
      <c r="M1370">
        <v>0</v>
      </c>
      <c r="N1370">
        <v>0</v>
      </c>
      <c r="O1370" t="s">
        <v>643</v>
      </c>
      <c r="R1370" t="s">
        <v>1412</v>
      </c>
      <c r="U1370">
        <v>25</v>
      </c>
      <c r="V1370">
        <v>25</v>
      </c>
      <c r="W1370" t="s">
        <v>350</v>
      </c>
      <c r="X1370" t="s">
        <v>349</v>
      </c>
      <c r="Y1370" t="s">
        <v>348</v>
      </c>
      <c r="Z1370">
        <v>2017</v>
      </c>
      <c r="AB1370">
        <v>5</v>
      </c>
      <c r="AC1370">
        <v>2.2999999999999998</v>
      </c>
      <c r="AE1370" t="s">
        <v>346</v>
      </c>
      <c r="AF1370">
        <v>46.142674</v>
      </c>
      <c r="AG1370">
        <v>-115.598088</v>
      </c>
      <c r="AH1370">
        <v>15965175</v>
      </c>
    </row>
    <row r="1371" spans="2:35">
      <c r="B1371" t="s">
        <v>345</v>
      </c>
      <c r="C1371" t="s">
        <v>1411</v>
      </c>
      <c r="D1371" s="3">
        <v>42945.658333333333</v>
      </c>
      <c r="F1371">
        <v>2017</v>
      </c>
      <c r="G1371" t="s">
        <v>605</v>
      </c>
      <c r="H1371" t="s">
        <v>352</v>
      </c>
      <c r="J1371">
        <v>0</v>
      </c>
      <c r="L1371">
        <v>20</v>
      </c>
      <c r="M1371">
        <v>0</v>
      </c>
      <c r="N1371">
        <v>0</v>
      </c>
      <c r="O1371" t="s">
        <v>606</v>
      </c>
      <c r="R1371" t="s">
        <v>1412</v>
      </c>
      <c r="U1371">
        <v>25</v>
      </c>
      <c r="V1371">
        <v>25</v>
      </c>
      <c r="W1371" t="s">
        <v>350</v>
      </c>
      <c r="X1371" t="s">
        <v>349</v>
      </c>
      <c r="Y1371" t="s">
        <v>348</v>
      </c>
      <c r="Z1371">
        <v>2017</v>
      </c>
      <c r="AB1371">
        <v>5</v>
      </c>
      <c r="AC1371">
        <v>2.2999999999999998</v>
      </c>
      <c r="AE1371" t="s">
        <v>346</v>
      </c>
      <c r="AF1371">
        <v>46.142674</v>
      </c>
      <c r="AG1371">
        <v>-115.598088</v>
      </c>
      <c r="AH1371">
        <v>15965176</v>
      </c>
    </row>
    <row r="1372" spans="2:35">
      <c r="B1372" t="s">
        <v>345</v>
      </c>
      <c r="C1372" t="s">
        <v>1413</v>
      </c>
      <c r="D1372" s="3">
        <v>42950.395833333336</v>
      </c>
      <c r="F1372">
        <v>2017</v>
      </c>
      <c r="G1372" t="s">
        <v>605</v>
      </c>
      <c r="H1372" t="s">
        <v>352</v>
      </c>
      <c r="J1372">
        <v>0</v>
      </c>
      <c r="L1372">
        <v>20</v>
      </c>
      <c r="M1372">
        <v>0</v>
      </c>
      <c r="N1372">
        <v>0</v>
      </c>
      <c r="O1372" t="s">
        <v>606</v>
      </c>
      <c r="R1372" t="s">
        <v>1414</v>
      </c>
      <c r="U1372">
        <v>25</v>
      </c>
      <c r="V1372">
        <v>25</v>
      </c>
      <c r="W1372" t="s">
        <v>350</v>
      </c>
      <c r="X1372" t="s">
        <v>349</v>
      </c>
      <c r="Y1372" t="s">
        <v>642</v>
      </c>
      <c r="Z1372">
        <v>2017</v>
      </c>
      <c r="AB1372">
        <v>5</v>
      </c>
      <c r="AC1372">
        <v>2.16</v>
      </c>
      <c r="AE1372" t="s">
        <v>346</v>
      </c>
      <c r="AF1372">
        <v>46.142674</v>
      </c>
      <c r="AG1372">
        <v>-115.598088</v>
      </c>
      <c r="AH1372">
        <v>16014044</v>
      </c>
    </row>
    <row r="1373" spans="2:35">
      <c r="B1373" t="s">
        <v>345</v>
      </c>
      <c r="C1373" t="s">
        <v>1415</v>
      </c>
      <c r="D1373" s="3">
        <v>43003.443749999999</v>
      </c>
      <c r="F1373">
        <v>2017</v>
      </c>
      <c r="G1373" t="s">
        <v>578</v>
      </c>
      <c r="H1373" t="s">
        <v>352</v>
      </c>
      <c r="J1373">
        <v>0</v>
      </c>
      <c r="L1373">
        <v>1</v>
      </c>
      <c r="M1373">
        <v>133</v>
      </c>
      <c r="N1373">
        <v>24</v>
      </c>
      <c r="O1373" t="s">
        <v>575</v>
      </c>
      <c r="Q1373" t="s">
        <v>1416</v>
      </c>
      <c r="R1373" t="s">
        <v>603</v>
      </c>
      <c r="U1373">
        <v>11</v>
      </c>
      <c r="V1373">
        <v>11</v>
      </c>
      <c r="W1373" t="s">
        <v>350</v>
      </c>
      <c r="X1373" t="s">
        <v>349</v>
      </c>
      <c r="Y1373" t="s">
        <v>348</v>
      </c>
      <c r="Z1373">
        <v>2017</v>
      </c>
      <c r="AB1373">
        <v>8</v>
      </c>
      <c r="AC1373">
        <v>1.91</v>
      </c>
      <c r="AE1373" t="s">
        <v>346</v>
      </c>
      <c r="AF1373">
        <v>46.142674</v>
      </c>
      <c r="AG1373">
        <v>-115.598088</v>
      </c>
      <c r="AH1373">
        <v>16067054</v>
      </c>
      <c r="AI1373">
        <f>17-76567</f>
        <v>-76550</v>
      </c>
    </row>
    <row r="1374" spans="2:35">
      <c r="B1374" t="s">
        <v>345</v>
      </c>
      <c r="C1374" t="s">
        <v>1415</v>
      </c>
      <c r="D1374" s="3">
        <v>43003.443749999999</v>
      </c>
      <c r="F1374">
        <v>2017</v>
      </c>
      <c r="G1374" t="s">
        <v>480</v>
      </c>
      <c r="H1374" t="s">
        <v>352</v>
      </c>
      <c r="J1374">
        <v>0</v>
      </c>
      <c r="L1374">
        <v>1</v>
      </c>
      <c r="M1374">
        <v>227</v>
      </c>
      <c r="N1374">
        <v>113</v>
      </c>
      <c r="O1374" t="s">
        <v>353</v>
      </c>
      <c r="R1374" t="s">
        <v>603</v>
      </c>
      <c r="U1374">
        <v>11</v>
      </c>
      <c r="V1374">
        <v>11</v>
      </c>
      <c r="W1374" t="s">
        <v>350</v>
      </c>
      <c r="X1374" t="s">
        <v>349</v>
      </c>
      <c r="Y1374" t="s">
        <v>348</v>
      </c>
      <c r="Z1374">
        <v>2017</v>
      </c>
      <c r="AB1374">
        <v>8</v>
      </c>
      <c r="AC1374">
        <v>1.91</v>
      </c>
      <c r="AE1374" t="s">
        <v>346</v>
      </c>
      <c r="AF1374">
        <v>46.142674</v>
      </c>
      <c r="AG1374">
        <v>-115.598088</v>
      </c>
      <c r="AH1374">
        <v>16067055</v>
      </c>
    </row>
    <row r="1375" spans="2:35">
      <c r="B1375" t="s">
        <v>345</v>
      </c>
      <c r="C1375" t="s">
        <v>1415</v>
      </c>
      <c r="D1375" s="3">
        <v>43003.443749999999</v>
      </c>
      <c r="F1375">
        <v>2017</v>
      </c>
      <c r="G1375" t="s">
        <v>578</v>
      </c>
      <c r="H1375" t="s">
        <v>352</v>
      </c>
      <c r="J1375">
        <v>0</v>
      </c>
      <c r="L1375">
        <v>1</v>
      </c>
      <c r="M1375">
        <v>150</v>
      </c>
      <c r="N1375">
        <v>32</v>
      </c>
      <c r="O1375" t="s">
        <v>575</v>
      </c>
      <c r="Q1375" t="s">
        <v>1417</v>
      </c>
      <c r="R1375" t="s">
        <v>603</v>
      </c>
      <c r="U1375">
        <v>11</v>
      </c>
      <c r="V1375">
        <v>11</v>
      </c>
      <c r="W1375" t="s">
        <v>350</v>
      </c>
      <c r="X1375" t="s">
        <v>349</v>
      </c>
      <c r="Y1375" t="s">
        <v>348</v>
      </c>
      <c r="Z1375">
        <v>2017</v>
      </c>
      <c r="AB1375">
        <v>8</v>
      </c>
      <c r="AC1375">
        <v>1.91</v>
      </c>
      <c r="AE1375" t="s">
        <v>346</v>
      </c>
      <c r="AF1375">
        <v>46.142674</v>
      </c>
      <c r="AG1375">
        <v>-115.598088</v>
      </c>
      <c r="AH1375">
        <v>16067056</v>
      </c>
      <c r="AI1375">
        <f>17-76568</f>
        <v>-76551</v>
      </c>
    </row>
    <row r="1376" spans="2:35">
      <c r="B1376" t="s">
        <v>345</v>
      </c>
      <c r="C1376" t="s">
        <v>1415</v>
      </c>
      <c r="D1376" s="3">
        <v>43003.443749999999</v>
      </c>
      <c r="F1376">
        <v>2017</v>
      </c>
      <c r="G1376" t="s">
        <v>578</v>
      </c>
      <c r="H1376" t="s">
        <v>352</v>
      </c>
      <c r="J1376">
        <v>0</v>
      </c>
      <c r="L1376">
        <v>1</v>
      </c>
      <c r="M1376">
        <v>113</v>
      </c>
      <c r="N1376">
        <v>14</v>
      </c>
      <c r="O1376" t="s">
        <v>702</v>
      </c>
      <c r="P1376" t="s">
        <v>635</v>
      </c>
      <c r="Q1376" t="s">
        <v>703</v>
      </c>
      <c r="R1376" t="s">
        <v>603</v>
      </c>
      <c r="U1376">
        <v>11</v>
      </c>
      <c r="V1376">
        <v>11</v>
      </c>
      <c r="W1376" t="s">
        <v>350</v>
      </c>
      <c r="X1376" t="s">
        <v>349</v>
      </c>
      <c r="Y1376" t="s">
        <v>348</v>
      </c>
      <c r="Z1376">
        <v>2017</v>
      </c>
      <c r="AB1376">
        <v>8</v>
      </c>
      <c r="AC1376">
        <v>1.91</v>
      </c>
      <c r="AE1376" t="s">
        <v>346</v>
      </c>
      <c r="AF1376">
        <v>46.142674</v>
      </c>
      <c r="AG1376">
        <v>-115.598088</v>
      </c>
      <c r="AH1376">
        <v>16067057</v>
      </c>
    </row>
    <row r="1377" spans="2:35">
      <c r="B1377" t="s">
        <v>345</v>
      </c>
      <c r="C1377" t="s">
        <v>1418</v>
      </c>
      <c r="D1377" s="3">
        <v>43035.533333333333</v>
      </c>
      <c r="F1377">
        <v>2017</v>
      </c>
      <c r="G1377" t="s">
        <v>574</v>
      </c>
      <c r="H1377" t="s">
        <v>352</v>
      </c>
      <c r="J1377">
        <v>0</v>
      </c>
      <c r="L1377">
        <v>1</v>
      </c>
      <c r="M1377">
        <v>96</v>
      </c>
      <c r="N1377">
        <v>10</v>
      </c>
      <c r="O1377" t="s">
        <v>575</v>
      </c>
      <c r="Q1377" t="s">
        <v>576</v>
      </c>
      <c r="R1377" t="s">
        <v>1419</v>
      </c>
      <c r="U1377">
        <v>9</v>
      </c>
      <c r="V1377">
        <v>7</v>
      </c>
      <c r="W1377" t="s">
        <v>350</v>
      </c>
      <c r="X1377" t="s">
        <v>349</v>
      </c>
      <c r="Y1377" t="s">
        <v>642</v>
      </c>
      <c r="Z1377">
        <v>2017</v>
      </c>
      <c r="AB1377">
        <v>8</v>
      </c>
      <c r="AC1377">
        <v>2.4500000000000002</v>
      </c>
      <c r="AE1377" t="s">
        <v>346</v>
      </c>
      <c r="AF1377">
        <v>46.142674</v>
      </c>
      <c r="AG1377">
        <v>-115.598088</v>
      </c>
      <c r="AH1377">
        <v>16070015</v>
      </c>
    </row>
    <row r="1378" spans="2:35">
      <c r="B1378" t="s">
        <v>345</v>
      </c>
      <c r="C1378" t="s">
        <v>1418</v>
      </c>
      <c r="D1378" s="3">
        <v>43035.533333333333</v>
      </c>
      <c r="F1378">
        <v>2017</v>
      </c>
      <c r="G1378" t="s">
        <v>578</v>
      </c>
      <c r="H1378" t="s">
        <v>352</v>
      </c>
      <c r="J1378">
        <v>0</v>
      </c>
      <c r="L1378">
        <v>1</v>
      </c>
      <c r="M1378">
        <v>160</v>
      </c>
      <c r="N1378">
        <v>40</v>
      </c>
      <c r="O1378" t="s">
        <v>702</v>
      </c>
      <c r="P1378" t="s">
        <v>635</v>
      </c>
      <c r="Q1378" t="s">
        <v>703</v>
      </c>
      <c r="R1378" t="s">
        <v>1419</v>
      </c>
      <c r="U1378">
        <v>9</v>
      </c>
      <c r="V1378">
        <v>7</v>
      </c>
      <c r="W1378" t="s">
        <v>350</v>
      </c>
      <c r="X1378" t="s">
        <v>349</v>
      </c>
      <c r="Y1378" t="s">
        <v>642</v>
      </c>
      <c r="Z1378">
        <v>2017</v>
      </c>
      <c r="AB1378">
        <v>8</v>
      </c>
      <c r="AC1378">
        <v>2.4500000000000002</v>
      </c>
      <c r="AE1378" t="s">
        <v>346</v>
      </c>
      <c r="AF1378">
        <v>46.142674</v>
      </c>
      <c r="AG1378">
        <v>-115.598088</v>
      </c>
      <c r="AH1378">
        <v>16070016</v>
      </c>
    </row>
    <row r="1379" spans="2:35">
      <c r="B1379" t="s">
        <v>345</v>
      </c>
      <c r="C1379" t="s">
        <v>1418</v>
      </c>
      <c r="D1379" s="3">
        <v>43035.533333333333</v>
      </c>
      <c r="F1379">
        <v>2017</v>
      </c>
      <c r="G1379" t="s">
        <v>578</v>
      </c>
      <c r="H1379" t="s">
        <v>352</v>
      </c>
      <c r="J1379">
        <v>0</v>
      </c>
      <c r="L1379">
        <v>1</v>
      </c>
      <c r="M1379">
        <v>153</v>
      </c>
      <c r="N1379">
        <v>33</v>
      </c>
      <c r="O1379" t="s">
        <v>575</v>
      </c>
      <c r="Q1379" t="s">
        <v>1420</v>
      </c>
      <c r="R1379" t="s">
        <v>1419</v>
      </c>
      <c r="U1379">
        <v>9</v>
      </c>
      <c r="V1379">
        <v>7</v>
      </c>
      <c r="W1379" t="s">
        <v>350</v>
      </c>
      <c r="X1379" t="s">
        <v>349</v>
      </c>
      <c r="Y1379" t="s">
        <v>642</v>
      </c>
      <c r="Z1379">
        <v>2017</v>
      </c>
      <c r="AB1379">
        <v>8</v>
      </c>
      <c r="AC1379">
        <v>2.4500000000000002</v>
      </c>
      <c r="AE1379" t="s">
        <v>346</v>
      </c>
      <c r="AF1379">
        <v>46.142674</v>
      </c>
      <c r="AG1379">
        <v>-115.598088</v>
      </c>
      <c r="AH1379">
        <v>16070017</v>
      </c>
    </row>
    <row r="1380" spans="2:35">
      <c r="B1380" t="s">
        <v>345</v>
      </c>
      <c r="C1380" t="s">
        <v>1418</v>
      </c>
      <c r="D1380" s="3">
        <v>43035.533333333333</v>
      </c>
      <c r="F1380">
        <v>2017</v>
      </c>
      <c r="G1380" t="s">
        <v>480</v>
      </c>
      <c r="H1380" t="s">
        <v>352</v>
      </c>
      <c r="J1380">
        <v>0</v>
      </c>
      <c r="L1380">
        <v>1</v>
      </c>
      <c r="M1380">
        <v>287</v>
      </c>
      <c r="N1380">
        <v>224</v>
      </c>
      <c r="O1380" t="s">
        <v>353</v>
      </c>
      <c r="R1380" t="s">
        <v>1419</v>
      </c>
      <c r="U1380">
        <v>9</v>
      </c>
      <c r="V1380">
        <v>7</v>
      </c>
      <c r="W1380" t="s">
        <v>350</v>
      </c>
      <c r="X1380" t="s">
        <v>349</v>
      </c>
      <c r="Y1380" t="s">
        <v>642</v>
      </c>
      <c r="Z1380">
        <v>2017</v>
      </c>
      <c r="AB1380">
        <v>8</v>
      </c>
      <c r="AC1380">
        <v>2.4500000000000002</v>
      </c>
      <c r="AE1380" t="s">
        <v>346</v>
      </c>
      <c r="AF1380">
        <v>46.142674</v>
      </c>
      <c r="AG1380">
        <v>-115.598088</v>
      </c>
      <c r="AH1380">
        <v>16070018</v>
      </c>
    </row>
    <row r="1381" spans="2:35">
      <c r="B1381" t="s">
        <v>345</v>
      </c>
      <c r="C1381" t="s">
        <v>1418</v>
      </c>
      <c r="D1381" s="3">
        <v>43035.533333333333</v>
      </c>
      <c r="F1381">
        <v>2017</v>
      </c>
      <c r="G1381" t="s">
        <v>604</v>
      </c>
      <c r="H1381" t="s">
        <v>352</v>
      </c>
      <c r="J1381">
        <v>0</v>
      </c>
      <c r="L1381">
        <v>5</v>
      </c>
      <c r="M1381">
        <v>0</v>
      </c>
      <c r="N1381">
        <v>0</v>
      </c>
      <c r="O1381" t="s">
        <v>643</v>
      </c>
      <c r="R1381" t="s">
        <v>1419</v>
      </c>
      <c r="U1381">
        <v>9</v>
      </c>
      <c r="V1381">
        <v>7</v>
      </c>
      <c r="W1381" t="s">
        <v>350</v>
      </c>
      <c r="X1381" t="s">
        <v>349</v>
      </c>
      <c r="Y1381" t="s">
        <v>642</v>
      </c>
      <c r="Z1381">
        <v>2017</v>
      </c>
      <c r="AB1381">
        <v>8</v>
      </c>
      <c r="AC1381">
        <v>2.4500000000000002</v>
      </c>
      <c r="AE1381" t="s">
        <v>346</v>
      </c>
      <c r="AF1381">
        <v>46.142674</v>
      </c>
      <c r="AG1381">
        <v>-115.598088</v>
      </c>
      <c r="AH1381">
        <v>16070019</v>
      </c>
    </row>
    <row r="1382" spans="2:35">
      <c r="B1382" t="s">
        <v>345</v>
      </c>
      <c r="C1382" t="s">
        <v>1418</v>
      </c>
      <c r="D1382" s="3">
        <v>43035.533333333333</v>
      </c>
      <c r="F1382">
        <v>2017</v>
      </c>
      <c r="G1382" t="s">
        <v>482</v>
      </c>
      <c r="H1382" t="s">
        <v>352</v>
      </c>
      <c r="J1382">
        <v>0</v>
      </c>
      <c r="L1382">
        <v>4</v>
      </c>
      <c r="M1382">
        <v>0</v>
      </c>
      <c r="N1382">
        <v>0</v>
      </c>
      <c r="O1382" t="s">
        <v>643</v>
      </c>
      <c r="R1382" t="s">
        <v>1419</v>
      </c>
      <c r="U1382">
        <v>9</v>
      </c>
      <c r="V1382">
        <v>7</v>
      </c>
      <c r="W1382" t="s">
        <v>350</v>
      </c>
      <c r="X1382" t="s">
        <v>349</v>
      </c>
      <c r="Y1382" t="s">
        <v>642</v>
      </c>
      <c r="Z1382">
        <v>2017</v>
      </c>
      <c r="AB1382">
        <v>8</v>
      </c>
      <c r="AC1382">
        <v>2.4500000000000002</v>
      </c>
      <c r="AE1382" t="s">
        <v>346</v>
      </c>
      <c r="AF1382">
        <v>46.142674</v>
      </c>
      <c r="AG1382">
        <v>-115.598088</v>
      </c>
      <c r="AH1382">
        <v>16070020</v>
      </c>
    </row>
    <row r="1383" spans="2:35">
      <c r="B1383" t="s">
        <v>345</v>
      </c>
      <c r="C1383" t="s">
        <v>1418</v>
      </c>
      <c r="D1383" s="3">
        <v>43035.533333333333</v>
      </c>
      <c r="F1383">
        <v>2017</v>
      </c>
      <c r="G1383" t="s">
        <v>578</v>
      </c>
      <c r="H1383" t="s">
        <v>352</v>
      </c>
      <c r="J1383">
        <v>0</v>
      </c>
      <c r="L1383">
        <v>1</v>
      </c>
      <c r="M1383">
        <v>173</v>
      </c>
      <c r="N1383">
        <v>55</v>
      </c>
      <c r="O1383" t="s">
        <v>702</v>
      </c>
      <c r="P1383" t="s">
        <v>635</v>
      </c>
      <c r="Q1383" t="s">
        <v>703</v>
      </c>
      <c r="R1383" t="s">
        <v>1419</v>
      </c>
      <c r="U1383">
        <v>9</v>
      </c>
      <c r="V1383">
        <v>7</v>
      </c>
      <c r="W1383" t="s">
        <v>350</v>
      </c>
      <c r="X1383" t="s">
        <v>349</v>
      </c>
      <c r="Y1383" t="s">
        <v>642</v>
      </c>
      <c r="Z1383">
        <v>2017</v>
      </c>
      <c r="AB1383">
        <v>8</v>
      </c>
      <c r="AC1383">
        <v>2.4500000000000002</v>
      </c>
      <c r="AE1383" t="s">
        <v>346</v>
      </c>
      <c r="AF1383">
        <v>46.142674</v>
      </c>
      <c r="AG1383">
        <v>-115.598088</v>
      </c>
      <c r="AH1383">
        <v>16070021</v>
      </c>
    </row>
    <row r="1384" spans="2:35">
      <c r="B1384" t="s">
        <v>345</v>
      </c>
      <c r="C1384" t="s">
        <v>1421</v>
      </c>
      <c r="D1384" s="3">
        <v>42866.297222222223</v>
      </c>
      <c r="F1384">
        <v>2017</v>
      </c>
      <c r="G1384" t="s">
        <v>605</v>
      </c>
      <c r="H1384" t="s">
        <v>352</v>
      </c>
      <c r="J1384">
        <v>0</v>
      </c>
      <c r="L1384">
        <v>1</v>
      </c>
      <c r="M1384">
        <v>32</v>
      </c>
      <c r="N1384">
        <v>0</v>
      </c>
      <c r="O1384" t="s">
        <v>353</v>
      </c>
      <c r="R1384" t="s">
        <v>608</v>
      </c>
      <c r="U1384">
        <v>7</v>
      </c>
      <c r="V1384">
        <v>7</v>
      </c>
      <c r="W1384" t="s">
        <v>350</v>
      </c>
      <c r="X1384" t="s">
        <v>349</v>
      </c>
      <c r="Y1384" t="s">
        <v>348</v>
      </c>
      <c r="Z1384">
        <v>2017</v>
      </c>
      <c r="AB1384">
        <v>12</v>
      </c>
      <c r="AC1384">
        <v>7.93</v>
      </c>
      <c r="AE1384" t="s">
        <v>346</v>
      </c>
      <c r="AF1384">
        <v>46.142674</v>
      </c>
      <c r="AG1384">
        <v>-115.598088</v>
      </c>
      <c r="AH1384">
        <v>16123804</v>
      </c>
    </row>
    <row r="1385" spans="2:35">
      <c r="B1385" t="s">
        <v>345</v>
      </c>
      <c r="C1385" t="s">
        <v>1421</v>
      </c>
      <c r="D1385" s="3">
        <v>42866.297222222223</v>
      </c>
      <c r="F1385">
        <v>2017</v>
      </c>
      <c r="G1385" t="s">
        <v>578</v>
      </c>
      <c r="H1385" t="s">
        <v>352</v>
      </c>
      <c r="J1385">
        <v>0</v>
      </c>
      <c r="L1385">
        <v>1</v>
      </c>
      <c r="M1385">
        <v>153</v>
      </c>
      <c r="N1385">
        <v>34</v>
      </c>
      <c r="O1385" t="s">
        <v>634</v>
      </c>
      <c r="P1385" t="s">
        <v>635</v>
      </c>
      <c r="Q1385" t="s">
        <v>635</v>
      </c>
      <c r="R1385" t="s">
        <v>608</v>
      </c>
      <c r="U1385">
        <v>7</v>
      </c>
      <c r="V1385">
        <v>7</v>
      </c>
      <c r="W1385" t="s">
        <v>350</v>
      </c>
      <c r="X1385" t="s">
        <v>349</v>
      </c>
      <c r="Y1385" t="s">
        <v>348</v>
      </c>
      <c r="Z1385">
        <v>2017</v>
      </c>
      <c r="AB1385">
        <v>12</v>
      </c>
      <c r="AC1385">
        <v>7.93</v>
      </c>
      <c r="AE1385" t="s">
        <v>346</v>
      </c>
      <c r="AF1385">
        <v>46.142674</v>
      </c>
      <c r="AG1385">
        <v>-115.598088</v>
      </c>
      <c r="AH1385">
        <v>16123805</v>
      </c>
    </row>
    <row r="1386" spans="2:35">
      <c r="B1386" t="s">
        <v>345</v>
      </c>
      <c r="C1386" t="s">
        <v>1421</v>
      </c>
      <c r="D1386" s="3">
        <v>42866.297222222223</v>
      </c>
      <c r="F1386">
        <v>2017</v>
      </c>
      <c r="G1386" t="s">
        <v>578</v>
      </c>
      <c r="H1386" t="s">
        <v>352</v>
      </c>
      <c r="J1386">
        <v>0</v>
      </c>
      <c r="L1386">
        <v>1</v>
      </c>
      <c r="M1386">
        <v>206</v>
      </c>
      <c r="N1386">
        <v>81</v>
      </c>
      <c r="O1386" t="s">
        <v>575</v>
      </c>
      <c r="Q1386" t="s">
        <v>1422</v>
      </c>
      <c r="R1386" t="s">
        <v>608</v>
      </c>
      <c r="U1386">
        <v>7</v>
      </c>
      <c r="V1386">
        <v>7</v>
      </c>
      <c r="W1386" t="s">
        <v>350</v>
      </c>
      <c r="X1386" t="s">
        <v>349</v>
      </c>
      <c r="Y1386" t="s">
        <v>348</v>
      </c>
      <c r="Z1386">
        <v>2017</v>
      </c>
      <c r="AB1386">
        <v>12</v>
      </c>
      <c r="AC1386">
        <v>7.93</v>
      </c>
      <c r="AE1386" t="s">
        <v>346</v>
      </c>
      <c r="AF1386">
        <v>46.142674</v>
      </c>
      <c r="AG1386">
        <v>-115.598088</v>
      </c>
      <c r="AH1386">
        <v>16123806</v>
      </c>
      <c r="AI1386">
        <f>17-76490</f>
        <v>-76473</v>
      </c>
    </row>
    <row r="1387" spans="2:35">
      <c r="B1387" t="s">
        <v>345</v>
      </c>
      <c r="C1387" t="s">
        <v>1421</v>
      </c>
      <c r="D1387" s="3">
        <v>42866.297222222223</v>
      </c>
      <c r="F1387">
        <v>2017</v>
      </c>
      <c r="G1387" t="s">
        <v>578</v>
      </c>
      <c r="H1387" t="s">
        <v>352</v>
      </c>
      <c r="J1387">
        <v>0</v>
      </c>
      <c r="L1387">
        <v>1</v>
      </c>
      <c r="M1387">
        <v>156</v>
      </c>
      <c r="N1387">
        <v>36</v>
      </c>
      <c r="O1387" t="s">
        <v>575</v>
      </c>
      <c r="Q1387" t="s">
        <v>1423</v>
      </c>
      <c r="R1387" t="s">
        <v>608</v>
      </c>
      <c r="U1387">
        <v>7</v>
      </c>
      <c r="V1387">
        <v>7</v>
      </c>
      <c r="W1387" t="s">
        <v>350</v>
      </c>
      <c r="X1387" t="s">
        <v>349</v>
      </c>
      <c r="Y1387" t="s">
        <v>348</v>
      </c>
      <c r="Z1387">
        <v>2017</v>
      </c>
      <c r="AB1387">
        <v>12</v>
      </c>
      <c r="AC1387">
        <v>7.93</v>
      </c>
      <c r="AE1387" t="s">
        <v>346</v>
      </c>
      <c r="AF1387">
        <v>46.142674</v>
      </c>
      <c r="AG1387">
        <v>-115.598088</v>
      </c>
      <c r="AH1387">
        <v>16123807</v>
      </c>
      <c r="AI1387">
        <f>17-76491</f>
        <v>-76474</v>
      </c>
    </row>
    <row r="1388" spans="2:35">
      <c r="B1388" t="s">
        <v>345</v>
      </c>
      <c r="C1388" t="s">
        <v>1421</v>
      </c>
      <c r="D1388" s="3">
        <v>42866.297222222223</v>
      </c>
      <c r="F1388">
        <v>2017</v>
      </c>
      <c r="G1388" t="s">
        <v>578</v>
      </c>
      <c r="H1388" t="s">
        <v>352</v>
      </c>
      <c r="J1388">
        <v>0</v>
      </c>
      <c r="L1388">
        <v>1</v>
      </c>
      <c r="M1388">
        <v>175</v>
      </c>
      <c r="N1388">
        <v>48</v>
      </c>
      <c r="O1388" t="s">
        <v>575</v>
      </c>
      <c r="Q1388" t="s">
        <v>1424</v>
      </c>
      <c r="R1388" t="s">
        <v>608</v>
      </c>
      <c r="U1388">
        <v>7</v>
      </c>
      <c r="V1388">
        <v>7</v>
      </c>
      <c r="W1388" t="s">
        <v>350</v>
      </c>
      <c r="X1388" t="s">
        <v>349</v>
      </c>
      <c r="Y1388" t="s">
        <v>348</v>
      </c>
      <c r="Z1388">
        <v>2017</v>
      </c>
      <c r="AB1388">
        <v>12</v>
      </c>
      <c r="AC1388">
        <v>7.93</v>
      </c>
      <c r="AE1388" t="s">
        <v>346</v>
      </c>
      <c r="AF1388">
        <v>46.142674</v>
      </c>
      <c r="AG1388">
        <v>-115.598088</v>
      </c>
      <c r="AH1388">
        <v>16123808</v>
      </c>
      <c r="AI1388">
        <f>17-76492</f>
        <v>-76475</v>
      </c>
    </row>
    <row r="1389" spans="2:35">
      <c r="B1389" t="s">
        <v>345</v>
      </c>
      <c r="C1389" t="s">
        <v>1425</v>
      </c>
      <c r="D1389" s="3">
        <v>42881.711111111108</v>
      </c>
      <c r="F1389">
        <v>2017</v>
      </c>
      <c r="G1389" t="s">
        <v>351</v>
      </c>
      <c r="H1389" t="s">
        <v>352</v>
      </c>
      <c r="J1389">
        <v>0</v>
      </c>
      <c r="L1389">
        <v>1</v>
      </c>
      <c r="M1389">
        <v>130</v>
      </c>
      <c r="N1389">
        <v>4</v>
      </c>
      <c r="O1389" t="s">
        <v>353</v>
      </c>
      <c r="R1389" t="s">
        <v>608</v>
      </c>
      <c r="U1389">
        <v>7.5</v>
      </c>
      <c r="V1389">
        <v>7</v>
      </c>
      <c r="W1389" t="s">
        <v>350</v>
      </c>
      <c r="X1389" t="s">
        <v>349</v>
      </c>
      <c r="Y1389" t="s">
        <v>348</v>
      </c>
      <c r="Z1389">
        <v>2017</v>
      </c>
      <c r="AB1389">
        <v>10</v>
      </c>
      <c r="AC1389">
        <v>7.67</v>
      </c>
      <c r="AE1389" t="s">
        <v>346</v>
      </c>
      <c r="AF1389">
        <v>46.142674</v>
      </c>
      <c r="AG1389">
        <v>-115.598088</v>
      </c>
      <c r="AH1389">
        <v>16126214</v>
      </c>
    </row>
    <row r="1390" spans="2:35">
      <c r="B1390" t="s">
        <v>345</v>
      </c>
      <c r="C1390" t="s">
        <v>1425</v>
      </c>
      <c r="D1390" s="3">
        <v>42881.711111111108</v>
      </c>
      <c r="F1390">
        <v>2017</v>
      </c>
      <c r="G1390" t="s">
        <v>610</v>
      </c>
      <c r="H1390" t="s">
        <v>352</v>
      </c>
      <c r="J1390">
        <v>0</v>
      </c>
      <c r="L1390">
        <v>1</v>
      </c>
      <c r="M1390">
        <v>36</v>
      </c>
      <c r="N1390">
        <v>0</v>
      </c>
      <c r="O1390" t="s">
        <v>353</v>
      </c>
      <c r="R1390" t="s">
        <v>608</v>
      </c>
      <c r="U1390">
        <v>7.5</v>
      </c>
      <c r="V1390">
        <v>7</v>
      </c>
      <c r="W1390" t="s">
        <v>350</v>
      </c>
      <c r="X1390" t="s">
        <v>349</v>
      </c>
      <c r="Y1390" t="s">
        <v>348</v>
      </c>
      <c r="Z1390">
        <v>2017</v>
      </c>
      <c r="AB1390">
        <v>10</v>
      </c>
      <c r="AC1390">
        <v>7.67</v>
      </c>
      <c r="AE1390" t="s">
        <v>346</v>
      </c>
      <c r="AF1390">
        <v>46.142674</v>
      </c>
      <c r="AG1390">
        <v>-115.598088</v>
      </c>
      <c r="AH1390">
        <v>16126215</v>
      </c>
    </row>
    <row r="1391" spans="2:35">
      <c r="B1391" t="s">
        <v>345</v>
      </c>
      <c r="C1391" t="s">
        <v>1426</v>
      </c>
      <c r="D1391" s="3">
        <v>42832.319444444445</v>
      </c>
      <c r="F1391">
        <v>2017</v>
      </c>
      <c r="G1391" t="s">
        <v>574</v>
      </c>
      <c r="H1391" t="s">
        <v>352</v>
      </c>
      <c r="J1391">
        <v>0</v>
      </c>
      <c r="L1391">
        <v>1</v>
      </c>
      <c r="M1391">
        <v>88</v>
      </c>
      <c r="N1391">
        <v>7</v>
      </c>
      <c r="O1391" t="s">
        <v>575</v>
      </c>
      <c r="Q1391" t="s">
        <v>576</v>
      </c>
      <c r="U1391">
        <v>5</v>
      </c>
      <c r="V1391">
        <v>5</v>
      </c>
      <c r="W1391" t="s">
        <v>350</v>
      </c>
      <c r="X1391" t="s">
        <v>349</v>
      </c>
      <c r="Y1391" t="s">
        <v>580</v>
      </c>
      <c r="Z1391">
        <v>2017</v>
      </c>
      <c r="AB1391">
        <v>14</v>
      </c>
      <c r="AC1391">
        <v>5.62</v>
      </c>
      <c r="AE1391" t="s">
        <v>346</v>
      </c>
      <c r="AF1391">
        <v>46.142674</v>
      </c>
      <c r="AG1391">
        <v>-115.598088</v>
      </c>
      <c r="AH1391">
        <v>16043912</v>
      </c>
    </row>
    <row r="1392" spans="2:35">
      <c r="B1392" t="s">
        <v>345</v>
      </c>
      <c r="C1392" t="s">
        <v>1426</v>
      </c>
      <c r="D1392" s="3">
        <v>42832.319444444445</v>
      </c>
      <c r="F1392">
        <v>2017</v>
      </c>
      <c r="G1392" t="s">
        <v>578</v>
      </c>
      <c r="H1392" t="s">
        <v>352</v>
      </c>
      <c r="J1392">
        <v>0</v>
      </c>
      <c r="L1392">
        <v>1</v>
      </c>
      <c r="M1392">
        <v>179</v>
      </c>
      <c r="N1392">
        <v>47</v>
      </c>
      <c r="O1392" t="s">
        <v>575</v>
      </c>
      <c r="Q1392" t="s">
        <v>1427</v>
      </c>
      <c r="U1392">
        <v>5</v>
      </c>
      <c r="V1392">
        <v>5</v>
      </c>
      <c r="W1392" t="s">
        <v>350</v>
      </c>
      <c r="X1392" t="s">
        <v>349</v>
      </c>
      <c r="Y1392" t="s">
        <v>580</v>
      </c>
      <c r="Z1392">
        <v>2017</v>
      </c>
      <c r="AB1392">
        <v>14</v>
      </c>
      <c r="AC1392">
        <v>5.62</v>
      </c>
      <c r="AE1392" t="s">
        <v>346</v>
      </c>
      <c r="AF1392">
        <v>46.142674</v>
      </c>
      <c r="AG1392">
        <v>-115.598088</v>
      </c>
      <c r="AH1392">
        <v>16043913</v>
      </c>
    </row>
    <row r="1393" spans="2:35">
      <c r="B1393" t="s">
        <v>345</v>
      </c>
      <c r="C1393" t="s">
        <v>1426</v>
      </c>
      <c r="D1393" s="3">
        <v>42832.319444444445</v>
      </c>
      <c r="F1393">
        <v>2017</v>
      </c>
      <c r="G1393" t="s">
        <v>611</v>
      </c>
      <c r="H1393" t="s">
        <v>352</v>
      </c>
      <c r="J1393">
        <v>0</v>
      </c>
      <c r="L1393">
        <v>1</v>
      </c>
      <c r="M1393">
        <v>78</v>
      </c>
      <c r="N1393">
        <v>5</v>
      </c>
      <c r="O1393" t="s">
        <v>353</v>
      </c>
      <c r="U1393">
        <v>5</v>
      </c>
      <c r="V1393">
        <v>5</v>
      </c>
      <c r="W1393" t="s">
        <v>350</v>
      </c>
      <c r="X1393" t="s">
        <v>349</v>
      </c>
      <c r="Y1393" t="s">
        <v>580</v>
      </c>
      <c r="Z1393">
        <v>2017</v>
      </c>
      <c r="AB1393">
        <v>14</v>
      </c>
      <c r="AC1393">
        <v>5.62</v>
      </c>
      <c r="AE1393" t="s">
        <v>346</v>
      </c>
      <c r="AF1393">
        <v>46.142674</v>
      </c>
      <c r="AG1393">
        <v>-115.598088</v>
      </c>
      <c r="AH1393">
        <v>16043914</v>
      </c>
    </row>
    <row r="1394" spans="2:35">
      <c r="B1394" t="s">
        <v>345</v>
      </c>
      <c r="C1394" t="s">
        <v>1426</v>
      </c>
      <c r="D1394" s="3">
        <v>42832.319444444445</v>
      </c>
      <c r="F1394">
        <v>2017</v>
      </c>
      <c r="G1394" t="s">
        <v>578</v>
      </c>
      <c r="H1394" t="s">
        <v>352</v>
      </c>
      <c r="J1394">
        <v>0</v>
      </c>
      <c r="L1394">
        <v>1</v>
      </c>
      <c r="M1394">
        <v>170</v>
      </c>
      <c r="N1394">
        <v>41</v>
      </c>
      <c r="O1394" t="s">
        <v>575</v>
      </c>
      <c r="Q1394" t="s">
        <v>1428</v>
      </c>
      <c r="U1394">
        <v>5</v>
      </c>
      <c r="V1394">
        <v>5</v>
      </c>
      <c r="W1394" t="s">
        <v>350</v>
      </c>
      <c r="X1394" t="s">
        <v>349</v>
      </c>
      <c r="Y1394" t="s">
        <v>580</v>
      </c>
      <c r="Z1394">
        <v>2017</v>
      </c>
      <c r="AB1394">
        <v>14</v>
      </c>
      <c r="AC1394">
        <v>5.62</v>
      </c>
      <c r="AE1394" t="s">
        <v>346</v>
      </c>
      <c r="AF1394">
        <v>46.142674</v>
      </c>
      <c r="AG1394">
        <v>-115.598088</v>
      </c>
      <c r="AH1394">
        <v>16043915</v>
      </c>
    </row>
    <row r="1395" spans="2:35">
      <c r="B1395" t="s">
        <v>345</v>
      </c>
      <c r="C1395" t="s">
        <v>1426</v>
      </c>
      <c r="D1395" s="3">
        <v>42832.319444444445</v>
      </c>
      <c r="F1395">
        <v>2017</v>
      </c>
      <c r="G1395" t="s">
        <v>578</v>
      </c>
      <c r="H1395" t="s">
        <v>352</v>
      </c>
      <c r="J1395">
        <v>0</v>
      </c>
      <c r="L1395">
        <v>1</v>
      </c>
      <c r="M1395">
        <v>175</v>
      </c>
      <c r="N1395">
        <v>46</v>
      </c>
      <c r="O1395" t="s">
        <v>634</v>
      </c>
      <c r="P1395" t="s">
        <v>635</v>
      </c>
      <c r="Q1395" t="s">
        <v>1429</v>
      </c>
      <c r="U1395">
        <v>5</v>
      </c>
      <c r="V1395">
        <v>5</v>
      </c>
      <c r="W1395" t="s">
        <v>350</v>
      </c>
      <c r="X1395" t="s">
        <v>349</v>
      </c>
      <c r="Y1395" t="s">
        <v>580</v>
      </c>
      <c r="Z1395">
        <v>2017</v>
      </c>
      <c r="AB1395">
        <v>14</v>
      </c>
      <c r="AC1395">
        <v>5.62</v>
      </c>
      <c r="AE1395" t="s">
        <v>346</v>
      </c>
      <c r="AF1395">
        <v>46.142674</v>
      </c>
      <c r="AG1395">
        <v>-115.598088</v>
      </c>
      <c r="AH1395">
        <v>16043916</v>
      </c>
    </row>
    <row r="1396" spans="2:35">
      <c r="B1396" t="s">
        <v>345</v>
      </c>
      <c r="C1396" t="s">
        <v>1430</v>
      </c>
      <c r="D1396" s="3">
        <v>42998.54791666667</v>
      </c>
      <c r="F1396">
        <v>2017</v>
      </c>
      <c r="G1396" t="s">
        <v>578</v>
      </c>
      <c r="H1396" t="s">
        <v>352</v>
      </c>
      <c r="J1396">
        <v>0</v>
      </c>
      <c r="L1396">
        <v>1</v>
      </c>
      <c r="M1396">
        <v>130</v>
      </c>
      <c r="N1396">
        <v>22</v>
      </c>
      <c r="O1396" t="s">
        <v>575</v>
      </c>
      <c r="Q1396" t="s">
        <v>1431</v>
      </c>
      <c r="R1396" t="s">
        <v>1432</v>
      </c>
      <c r="U1396">
        <v>11</v>
      </c>
      <c r="V1396">
        <v>11</v>
      </c>
      <c r="W1396" t="s">
        <v>350</v>
      </c>
      <c r="X1396" t="s">
        <v>349</v>
      </c>
      <c r="Y1396" t="s">
        <v>642</v>
      </c>
      <c r="Z1396">
        <v>2017</v>
      </c>
      <c r="AB1396">
        <v>7</v>
      </c>
      <c r="AC1396">
        <v>2.2999999999999998</v>
      </c>
      <c r="AE1396" t="s">
        <v>346</v>
      </c>
      <c r="AF1396">
        <v>46.142674</v>
      </c>
      <c r="AG1396">
        <v>-115.598088</v>
      </c>
      <c r="AH1396">
        <v>16053530</v>
      </c>
      <c r="AI1396">
        <f>17-76562</f>
        <v>-76545</v>
      </c>
    </row>
    <row r="1397" spans="2:35">
      <c r="B1397" t="s">
        <v>345</v>
      </c>
      <c r="C1397" t="s">
        <v>1430</v>
      </c>
      <c r="D1397" s="3">
        <v>42998.54791666667</v>
      </c>
      <c r="F1397">
        <v>2017</v>
      </c>
      <c r="G1397" t="s">
        <v>578</v>
      </c>
      <c r="H1397" t="s">
        <v>352</v>
      </c>
      <c r="J1397">
        <v>0</v>
      </c>
      <c r="L1397">
        <v>1</v>
      </c>
      <c r="M1397">
        <v>245</v>
      </c>
      <c r="N1397">
        <v>152</v>
      </c>
      <c r="O1397" t="s">
        <v>575</v>
      </c>
      <c r="Q1397" t="s">
        <v>1433</v>
      </c>
      <c r="R1397" t="s">
        <v>1432</v>
      </c>
      <c r="U1397">
        <v>11</v>
      </c>
      <c r="V1397">
        <v>11</v>
      </c>
      <c r="W1397" t="s">
        <v>350</v>
      </c>
      <c r="X1397" t="s">
        <v>349</v>
      </c>
      <c r="Y1397" t="s">
        <v>642</v>
      </c>
      <c r="Z1397">
        <v>2017</v>
      </c>
      <c r="AB1397">
        <v>7</v>
      </c>
      <c r="AC1397">
        <v>2.2999999999999998</v>
      </c>
      <c r="AE1397" t="s">
        <v>346</v>
      </c>
      <c r="AF1397">
        <v>46.142674</v>
      </c>
      <c r="AG1397">
        <v>-115.598088</v>
      </c>
      <c r="AH1397">
        <v>16053531</v>
      </c>
      <c r="AI1397">
        <f>17-76557</f>
        <v>-76540</v>
      </c>
    </row>
    <row r="1398" spans="2:35">
      <c r="B1398" t="s">
        <v>345</v>
      </c>
      <c r="C1398" t="s">
        <v>1430</v>
      </c>
      <c r="D1398" s="3">
        <v>42998.54791666667</v>
      </c>
      <c r="F1398">
        <v>2017</v>
      </c>
      <c r="G1398" t="s">
        <v>578</v>
      </c>
      <c r="H1398" t="s">
        <v>352</v>
      </c>
      <c r="J1398">
        <v>0</v>
      </c>
      <c r="L1398">
        <v>1</v>
      </c>
      <c r="M1398">
        <v>125</v>
      </c>
      <c r="N1398">
        <v>22</v>
      </c>
      <c r="O1398" t="s">
        <v>575</v>
      </c>
      <c r="Q1398" t="s">
        <v>1434</v>
      </c>
      <c r="R1398" t="s">
        <v>1432</v>
      </c>
      <c r="U1398">
        <v>11</v>
      </c>
      <c r="V1398">
        <v>11</v>
      </c>
      <c r="W1398" t="s">
        <v>350</v>
      </c>
      <c r="X1398" t="s">
        <v>349</v>
      </c>
      <c r="Y1398" t="s">
        <v>642</v>
      </c>
      <c r="Z1398">
        <v>2017</v>
      </c>
      <c r="AB1398">
        <v>7</v>
      </c>
      <c r="AC1398">
        <v>2.2999999999999998</v>
      </c>
      <c r="AE1398" t="s">
        <v>346</v>
      </c>
      <c r="AF1398">
        <v>46.142674</v>
      </c>
      <c r="AG1398">
        <v>-115.598088</v>
      </c>
      <c r="AH1398">
        <v>16053532</v>
      </c>
      <c r="AI1398">
        <f>17-76560</f>
        <v>-76543</v>
      </c>
    </row>
    <row r="1399" spans="2:35">
      <c r="B1399" t="s">
        <v>345</v>
      </c>
      <c r="C1399" t="s">
        <v>1430</v>
      </c>
      <c r="D1399" s="3">
        <v>42998.54791666667</v>
      </c>
      <c r="F1399">
        <v>2017</v>
      </c>
      <c r="G1399" t="s">
        <v>605</v>
      </c>
      <c r="H1399" t="s">
        <v>352</v>
      </c>
      <c r="J1399">
        <v>0</v>
      </c>
      <c r="L1399">
        <v>11</v>
      </c>
      <c r="M1399">
        <v>0</v>
      </c>
      <c r="N1399">
        <v>0</v>
      </c>
      <c r="O1399" t="s">
        <v>606</v>
      </c>
      <c r="R1399" t="s">
        <v>1432</v>
      </c>
      <c r="U1399">
        <v>11</v>
      </c>
      <c r="V1399">
        <v>11</v>
      </c>
      <c r="W1399" t="s">
        <v>350</v>
      </c>
      <c r="X1399" t="s">
        <v>349</v>
      </c>
      <c r="Y1399" t="s">
        <v>642</v>
      </c>
      <c r="Z1399">
        <v>2017</v>
      </c>
      <c r="AB1399">
        <v>7</v>
      </c>
      <c r="AC1399">
        <v>2.2999999999999998</v>
      </c>
      <c r="AE1399" t="s">
        <v>346</v>
      </c>
      <c r="AF1399">
        <v>46.142674</v>
      </c>
      <c r="AG1399">
        <v>-115.598088</v>
      </c>
      <c r="AH1399">
        <v>16053533</v>
      </c>
    </row>
    <row r="1400" spans="2:35">
      <c r="B1400" t="s">
        <v>345</v>
      </c>
      <c r="C1400" t="s">
        <v>1430</v>
      </c>
      <c r="D1400" s="3">
        <v>42998.54791666667</v>
      </c>
      <c r="F1400">
        <v>2017</v>
      </c>
      <c r="G1400" t="s">
        <v>578</v>
      </c>
      <c r="H1400" t="s">
        <v>352</v>
      </c>
      <c r="J1400">
        <v>0</v>
      </c>
      <c r="L1400">
        <v>1</v>
      </c>
      <c r="M1400">
        <v>151</v>
      </c>
      <c r="N1400">
        <v>42</v>
      </c>
      <c r="O1400" t="s">
        <v>575</v>
      </c>
      <c r="Q1400" t="s">
        <v>1435</v>
      </c>
      <c r="R1400" t="s">
        <v>1432</v>
      </c>
      <c r="U1400">
        <v>11</v>
      </c>
      <c r="V1400">
        <v>11</v>
      </c>
      <c r="W1400" t="s">
        <v>350</v>
      </c>
      <c r="X1400" t="s">
        <v>349</v>
      </c>
      <c r="Y1400" t="s">
        <v>642</v>
      </c>
      <c r="Z1400">
        <v>2017</v>
      </c>
      <c r="AB1400">
        <v>7</v>
      </c>
      <c r="AC1400">
        <v>2.2999999999999998</v>
      </c>
      <c r="AE1400" t="s">
        <v>346</v>
      </c>
      <c r="AF1400">
        <v>46.142674</v>
      </c>
      <c r="AG1400">
        <v>-115.598088</v>
      </c>
      <c r="AH1400">
        <v>16053534</v>
      </c>
      <c r="AI1400">
        <f>17-76558</f>
        <v>-76541</v>
      </c>
    </row>
    <row r="1401" spans="2:35">
      <c r="B1401" t="s">
        <v>345</v>
      </c>
      <c r="C1401" t="s">
        <v>1430</v>
      </c>
      <c r="D1401" s="3">
        <v>42998.54791666667</v>
      </c>
      <c r="F1401">
        <v>2017</v>
      </c>
      <c r="G1401" t="s">
        <v>602</v>
      </c>
      <c r="H1401" t="s">
        <v>352</v>
      </c>
      <c r="J1401">
        <v>0</v>
      </c>
      <c r="L1401">
        <v>1</v>
      </c>
      <c r="M1401">
        <v>210</v>
      </c>
      <c r="N1401">
        <v>118</v>
      </c>
      <c r="O1401" t="s">
        <v>353</v>
      </c>
      <c r="R1401" t="s">
        <v>1432</v>
      </c>
      <c r="U1401">
        <v>11</v>
      </c>
      <c r="V1401">
        <v>11</v>
      </c>
      <c r="W1401" t="s">
        <v>350</v>
      </c>
      <c r="X1401" t="s">
        <v>349</v>
      </c>
      <c r="Y1401" t="s">
        <v>642</v>
      </c>
      <c r="Z1401">
        <v>2017</v>
      </c>
      <c r="AB1401">
        <v>7</v>
      </c>
      <c r="AC1401">
        <v>2.2999999999999998</v>
      </c>
      <c r="AE1401" t="s">
        <v>346</v>
      </c>
      <c r="AF1401">
        <v>46.142674</v>
      </c>
      <c r="AG1401">
        <v>-115.598088</v>
      </c>
      <c r="AH1401">
        <v>16053535</v>
      </c>
    </row>
    <row r="1402" spans="2:35">
      <c r="B1402" t="s">
        <v>345</v>
      </c>
      <c r="C1402" t="s">
        <v>1430</v>
      </c>
      <c r="D1402" s="3">
        <v>42998.54791666667</v>
      </c>
      <c r="F1402">
        <v>2017</v>
      </c>
      <c r="G1402" t="s">
        <v>578</v>
      </c>
      <c r="H1402" t="s">
        <v>352</v>
      </c>
      <c r="J1402">
        <v>0</v>
      </c>
      <c r="L1402">
        <v>1</v>
      </c>
      <c r="M1402">
        <v>155</v>
      </c>
      <c r="N1402">
        <v>41</v>
      </c>
      <c r="O1402" t="s">
        <v>575</v>
      </c>
      <c r="Q1402" t="s">
        <v>1436</v>
      </c>
      <c r="R1402" t="s">
        <v>1432</v>
      </c>
      <c r="U1402">
        <v>11</v>
      </c>
      <c r="V1402">
        <v>11</v>
      </c>
      <c r="W1402" t="s">
        <v>350</v>
      </c>
      <c r="X1402" t="s">
        <v>349</v>
      </c>
      <c r="Y1402" t="s">
        <v>642</v>
      </c>
      <c r="Z1402">
        <v>2017</v>
      </c>
      <c r="AB1402">
        <v>7</v>
      </c>
      <c r="AC1402">
        <v>2.2999999999999998</v>
      </c>
      <c r="AE1402" t="s">
        <v>346</v>
      </c>
      <c r="AF1402">
        <v>46.142674</v>
      </c>
      <c r="AG1402">
        <v>-115.598088</v>
      </c>
      <c r="AH1402">
        <v>16053536</v>
      </c>
      <c r="AI1402">
        <f>17-76559</f>
        <v>-76542</v>
      </c>
    </row>
    <row r="1403" spans="2:35">
      <c r="B1403" t="s">
        <v>345</v>
      </c>
      <c r="C1403" t="s">
        <v>1430</v>
      </c>
      <c r="D1403" s="3">
        <v>42998.54791666667</v>
      </c>
      <c r="F1403">
        <v>2017</v>
      </c>
      <c r="G1403" t="s">
        <v>842</v>
      </c>
      <c r="H1403" t="s">
        <v>352</v>
      </c>
      <c r="J1403">
        <v>0</v>
      </c>
      <c r="L1403">
        <v>2</v>
      </c>
      <c r="M1403">
        <v>0</v>
      </c>
      <c r="N1403">
        <v>0</v>
      </c>
      <c r="O1403" t="s">
        <v>643</v>
      </c>
      <c r="R1403" t="s">
        <v>1432</v>
      </c>
      <c r="U1403">
        <v>11</v>
      </c>
      <c r="V1403">
        <v>11</v>
      </c>
      <c r="W1403" t="s">
        <v>350</v>
      </c>
      <c r="X1403" t="s">
        <v>349</v>
      </c>
      <c r="Y1403" t="s">
        <v>642</v>
      </c>
      <c r="Z1403">
        <v>2017</v>
      </c>
      <c r="AB1403">
        <v>7</v>
      </c>
      <c r="AC1403">
        <v>2.2999999999999998</v>
      </c>
      <c r="AE1403" t="s">
        <v>346</v>
      </c>
      <c r="AF1403">
        <v>46.142674</v>
      </c>
      <c r="AG1403">
        <v>-115.598088</v>
      </c>
      <c r="AH1403">
        <v>16053537</v>
      </c>
    </row>
    <row r="1404" spans="2:35">
      <c r="B1404" t="s">
        <v>345</v>
      </c>
      <c r="C1404" t="s">
        <v>1430</v>
      </c>
      <c r="D1404" s="3">
        <v>42998.54791666667</v>
      </c>
      <c r="F1404">
        <v>2017</v>
      </c>
      <c r="G1404" t="s">
        <v>578</v>
      </c>
      <c r="H1404" t="s">
        <v>352</v>
      </c>
      <c r="J1404">
        <v>0</v>
      </c>
      <c r="L1404">
        <v>1</v>
      </c>
      <c r="M1404">
        <v>172</v>
      </c>
      <c r="N1404">
        <v>55</v>
      </c>
      <c r="O1404" t="s">
        <v>575</v>
      </c>
      <c r="Q1404" t="s">
        <v>1437</v>
      </c>
      <c r="R1404" t="s">
        <v>1432</v>
      </c>
      <c r="U1404">
        <v>11</v>
      </c>
      <c r="V1404">
        <v>11</v>
      </c>
      <c r="W1404" t="s">
        <v>350</v>
      </c>
      <c r="X1404" t="s">
        <v>349</v>
      </c>
      <c r="Y1404" t="s">
        <v>642</v>
      </c>
      <c r="Z1404">
        <v>2017</v>
      </c>
      <c r="AB1404">
        <v>7</v>
      </c>
      <c r="AC1404">
        <v>2.2999999999999998</v>
      </c>
      <c r="AE1404" t="s">
        <v>346</v>
      </c>
      <c r="AF1404">
        <v>46.142674</v>
      </c>
      <c r="AG1404">
        <v>-115.598088</v>
      </c>
      <c r="AH1404">
        <v>16053538</v>
      </c>
      <c r="AI1404">
        <f>17-76561</f>
        <v>-76544</v>
      </c>
    </row>
    <row r="1405" spans="2:35">
      <c r="B1405" t="s">
        <v>345</v>
      </c>
      <c r="C1405" t="s">
        <v>1430</v>
      </c>
      <c r="D1405" s="3">
        <v>42998.54791666667</v>
      </c>
      <c r="F1405">
        <v>2017</v>
      </c>
      <c r="G1405" t="s">
        <v>602</v>
      </c>
      <c r="H1405" t="s">
        <v>352</v>
      </c>
      <c r="J1405">
        <v>0</v>
      </c>
      <c r="L1405">
        <v>1</v>
      </c>
      <c r="M1405">
        <v>410</v>
      </c>
      <c r="N1405">
        <v>0</v>
      </c>
      <c r="O1405" t="s">
        <v>353</v>
      </c>
      <c r="R1405" t="s">
        <v>1432</v>
      </c>
      <c r="U1405">
        <v>11</v>
      </c>
      <c r="V1405">
        <v>11</v>
      </c>
      <c r="W1405" t="s">
        <v>350</v>
      </c>
      <c r="X1405" t="s">
        <v>349</v>
      </c>
      <c r="Y1405" t="s">
        <v>642</v>
      </c>
      <c r="Z1405">
        <v>2017</v>
      </c>
      <c r="AB1405">
        <v>7</v>
      </c>
      <c r="AC1405">
        <v>2.2999999999999998</v>
      </c>
      <c r="AE1405" t="s">
        <v>346</v>
      </c>
      <c r="AF1405">
        <v>46.142674</v>
      </c>
      <c r="AG1405">
        <v>-115.598088</v>
      </c>
      <c r="AH1405">
        <v>16053539</v>
      </c>
    </row>
    <row r="1406" spans="2:35">
      <c r="B1406" t="s">
        <v>345</v>
      </c>
      <c r="C1406" t="s">
        <v>1438</v>
      </c>
      <c r="D1406" s="3">
        <v>43013.458333333336</v>
      </c>
      <c r="F1406">
        <v>2017</v>
      </c>
      <c r="G1406" t="s">
        <v>605</v>
      </c>
      <c r="H1406" t="s">
        <v>352</v>
      </c>
      <c r="J1406">
        <v>0</v>
      </c>
      <c r="L1406">
        <v>7</v>
      </c>
      <c r="M1406">
        <v>0</v>
      </c>
      <c r="N1406">
        <v>0</v>
      </c>
      <c r="O1406" t="s">
        <v>606</v>
      </c>
      <c r="U1406">
        <v>9.5</v>
      </c>
      <c r="V1406">
        <v>9.5</v>
      </c>
      <c r="W1406" t="s">
        <v>350</v>
      </c>
      <c r="X1406" t="s">
        <v>349</v>
      </c>
      <c r="Y1406" t="s">
        <v>348</v>
      </c>
      <c r="Z1406">
        <v>2017</v>
      </c>
      <c r="AB1406">
        <v>6</v>
      </c>
      <c r="AC1406">
        <v>1.99</v>
      </c>
      <c r="AE1406" t="s">
        <v>346</v>
      </c>
      <c r="AF1406">
        <v>46.142674</v>
      </c>
      <c r="AG1406">
        <v>-115.598088</v>
      </c>
      <c r="AH1406">
        <v>16195214</v>
      </c>
    </row>
    <row r="1407" spans="2:35">
      <c r="B1407" t="s">
        <v>345</v>
      </c>
      <c r="C1407" t="s">
        <v>1439</v>
      </c>
      <c r="D1407" s="3">
        <v>42837.326388888891</v>
      </c>
      <c r="F1407">
        <v>2017</v>
      </c>
      <c r="G1407" t="s">
        <v>578</v>
      </c>
      <c r="H1407" t="s">
        <v>352</v>
      </c>
      <c r="J1407">
        <v>0</v>
      </c>
      <c r="L1407">
        <v>1</v>
      </c>
      <c r="M1407">
        <v>181</v>
      </c>
      <c r="N1407">
        <v>55</v>
      </c>
      <c r="O1407" t="s">
        <v>575</v>
      </c>
      <c r="Q1407" t="s">
        <v>1440</v>
      </c>
      <c r="U1407">
        <v>5</v>
      </c>
      <c r="V1407">
        <v>5</v>
      </c>
      <c r="W1407" t="s">
        <v>350</v>
      </c>
      <c r="X1407" t="s">
        <v>349</v>
      </c>
      <c r="Y1407" t="s">
        <v>580</v>
      </c>
      <c r="Z1407">
        <v>2017</v>
      </c>
      <c r="AB1407">
        <v>12</v>
      </c>
      <c r="AC1407">
        <v>5.26</v>
      </c>
      <c r="AE1407" t="s">
        <v>346</v>
      </c>
      <c r="AF1407">
        <v>46.142674</v>
      </c>
      <c r="AG1407">
        <v>-115.598088</v>
      </c>
      <c r="AH1407">
        <v>16196467</v>
      </c>
    </row>
    <row r="1408" spans="2:35">
      <c r="B1408" t="s">
        <v>345</v>
      </c>
      <c r="C1408" t="s">
        <v>1439</v>
      </c>
      <c r="D1408" s="3">
        <v>42837.326388888891</v>
      </c>
      <c r="F1408">
        <v>2017</v>
      </c>
      <c r="G1408" t="s">
        <v>636</v>
      </c>
      <c r="H1408" t="s">
        <v>352</v>
      </c>
      <c r="J1408">
        <v>0</v>
      </c>
      <c r="L1408">
        <v>1</v>
      </c>
      <c r="M1408">
        <v>52</v>
      </c>
      <c r="N1408">
        <v>2</v>
      </c>
      <c r="O1408" t="s">
        <v>353</v>
      </c>
      <c r="U1408">
        <v>5</v>
      </c>
      <c r="V1408">
        <v>5</v>
      </c>
      <c r="W1408" t="s">
        <v>350</v>
      </c>
      <c r="X1408" t="s">
        <v>349</v>
      </c>
      <c r="Y1408" t="s">
        <v>580</v>
      </c>
      <c r="Z1408">
        <v>2017</v>
      </c>
      <c r="AB1408">
        <v>12</v>
      </c>
      <c r="AC1408">
        <v>5.26</v>
      </c>
      <c r="AE1408" t="s">
        <v>346</v>
      </c>
      <c r="AF1408">
        <v>46.142674</v>
      </c>
      <c r="AG1408">
        <v>-115.598088</v>
      </c>
      <c r="AH1408">
        <v>16196468</v>
      </c>
    </row>
    <row r="1409" spans="2:34">
      <c r="B1409" t="s">
        <v>345</v>
      </c>
      <c r="C1409" t="s">
        <v>1415</v>
      </c>
      <c r="D1409" s="3">
        <v>43003.443749999999</v>
      </c>
      <c r="F1409">
        <v>2017</v>
      </c>
      <c r="G1409" t="s">
        <v>480</v>
      </c>
      <c r="H1409" t="s">
        <v>352</v>
      </c>
      <c r="J1409">
        <v>0</v>
      </c>
      <c r="L1409">
        <v>1</v>
      </c>
      <c r="M1409">
        <v>210</v>
      </c>
      <c r="N1409">
        <v>85</v>
      </c>
      <c r="O1409" t="s">
        <v>353</v>
      </c>
      <c r="R1409" t="s">
        <v>603</v>
      </c>
      <c r="U1409">
        <v>11</v>
      </c>
      <c r="V1409">
        <v>11</v>
      </c>
      <c r="W1409" t="s">
        <v>350</v>
      </c>
      <c r="X1409" t="s">
        <v>349</v>
      </c>
      <c r="Y1409" t="s">
        <v>348</v>
      </c>
      <c r="Z1409">
        <v>2017</v>
      </c>
      <c r="AB1409">
        <v>8</v>
      </c>
      <c r="AC1409">
        <v>1.91</v>
      </c>
      <c r="AE1409" t="s">
        <v>346</v>
      </c>
      <c r="AF1409">
        <v>46.142674</v>
      </c>
      <c r="AG1409">
        <v>-115.598088</v>
      </c>
      <c r="AH1409">
        <v>16067058</v>
      </c>
    </row>
    <row r="1410" spans="2:34">
      <c r="B1410" t="s">
        <v>345</v>
      </c>
      <c r="C1410" t="s">
        <v>1415</v>
      </c>
      <c r="D1410" s="3">
        <v>43003.443749999999</v>
      </c>
      <c r="F1410">
        <v>2017</v>
      </c>
      <c r="G1410" t="s">
        <v>482</v>
      </c>
      <c r="H1410" t="s">
        <v>352</v>
      </c>
      <c r="J1410">
        <v>0</v>
      </c>
      <c r="L1410">
        <v>1</v>
      </c>
      <c r="M1410">
        <v>220</v>
      </c>
      <c r="N1410">
        <v>130</v>
      </c>
      <c r="O1410" t="s">
        <v>353</v>
      </c>
      <c r="R1410" t="s">
        <v>603</v>
      </c>
      <c r="U1410">
        <v>11</v>
      </c>
      <c r="V1410">
        <v>11</v>
      </c>
      <c r="W1410" t="s">
        <v>350</v>
      </c>
      <c r="X1410" t="s">
        <v>349</v>
      </c>
      <c r="Y1410" t="s">
        <v>348</v>
      </c>
      <c r="Z1410">
        <v>2017</v>
      </c>
      <c r="AB1410">
        <v>8</v>
      </c>
      <c r="AC1410">
        <v>1.91</v>
      </c>
      <c r="AE1410" t="s">
        <v>346</v>
      </c>
      <c r="AF1410">
        <v>46.142674</v>
      </c>
      <c r="AG1410">
        <v>-115.598088</v>
      </c>
      <c r="AH1410">
        <v>16067059</v>
      </c>
    </row>
    <row r="1411" spans="2:34">
      <c r="B1411" t="s">
        <v>345</v>
      </c>
      <c r="C1411" t="s">
        <v>1441</v>
      </c>
      <c r="D1411" s="3">
        <v>42991.385416666664</v>
      </c>
      <c r="F1411">
        <v>2017</v>
      </c>
      <c r="G1411" t="s">
        <v>605</v>
      </c>
      <c r="H1411" t="s">
        <v>352</v>
      </c>
      <c r="J1411">
        <v>0</v>
      </c>
      <c r="L1411">
        <v>20</v>
      </c>
      <c r="O1411" t="s">
        <v>643</v>
      </c>
      <c r="R1411" t="s">
        <v>707</v>
      </c>
      <c r="U1411">
        <v>25</v>
      </c>
      <c r="V1411">
        <v>17.5</v>
      </c>
      <c r="W1411" t="s">
        <v>350</v>
      </c>
      <c r="X1411" t="s">
        <v>349</v>
      </c>
      <c r="Y1411" t="s">
        <v>697</v>
      </c>
      <c r="Z1411">
        <v>2017</v>
      </c>
      <c r="AB1411">
        <v>3</v>
      </c>
      <c r="AC1411">
        <v>1.71</v>
      </c>
      <c r="AE1411" t="s">
        <v>346</v>
      </c>
      <c r="AF1411">
        <v>46.142674</v>
      </c>
      <c r="AG1411">
        <v>-115.598088</v>
      </c>
      <c r="AH1411">
        <v>16158160</v>
      </c>
    </row>
    <row r="1412" spans="2:34">
      <c r="B1412" t="s">
        <v>345</v>
      </c>
      <c r="C1412" t="s">
        <v>1441</v>
      </c>
      <c r="D1412" s="3">
        <v>42991.385416666664</v>
      </c>
      <c r="F1412">
        <v>2017</v>
      </c>
      <c r="G1412" t="s">
        <v>615</v>
      </c>
      <c r="H1412" t="s">
        <v>352</v>
      </c>
      <c r="J1412">
        <v>0</v>
      </c>
      <c r="L1412">
        <v>1</v>
      </c>
      <c r="O1412" t="s">
        <v>643</v>
      </c>
      <c r="R1412" t="s">
        <v>707</v>
      </c>
      <c r="U1412">
        <v>25</v>
      </c>
      <c r="V1412">
        <v>17.5</v>
      </c>
      <c r="W1412" t="s">
        <v>350</v>
      </c>
      <c r="X1412" t="s">
        <v>349</v>
      </c>
      <c r="Y1412" t="s">
        <v>697</v>
      </c>
      <c r="Z1412">
        <v>2017</v>
      </c>
      <c r="AB1412">
        <v>3</v>
      </c>
      <c r="AC1412">
        <v>1.71</v>
      </c>
      <c r="AE1412" t="s">
        <v>346</v>
      </c>
      <c r="AF1412">
        <v>46.142674</v>
      </c>
      <c r="AG1412">
        <v>-115.598088</v>
      </c>
      <c r="AH1412">
        <v>16158161</v>
      </c>
    </row>
    <row r="1413" spans="2:34">
      <c r="B1413" t="s">
        <v>345</v>
      </c>
      <c r="C1413" t="s">
        <v>1442</v>
      </c>
      <c r="D1413" s="3">
        <v>42836.317361111112</v>
      </c>
      <c r="F1413">
        <v>2017</v>
      </c>
      <c r="G1413" t="s">
        <v>610</v>
      </c>
      <c r="H1413" t="s">
        <v>352</v>
      </c>
      <c r="J1413">
        <v>0</v>
      </c>
      <c r="L1413">
        <v>3</v>
      </c>
      <c r="M1413">
        <v>0</v>
      </c>
      <c r="N1413">
        <v>0</v>
      </c>
      <c r="O1413" t="s">
        <v>643</v>
      </c>
      <c r="U1413">
        <v>4</v>
      </c>
      <c r="V1413">
        <v>4</v>
      </c>
      <c r="W1413" t="s">
        <v>350</v>
      </c>
      <c r="X1413" t="s">
        <v>349</v>
      </c>
      <c r="Y1413" t="s">
        <v>580</v>
      </c>
      <c r="Z1413">
        <v>2017</v>
      </c>
      <c r="AB1413">
        <v>12</v>
      </c>
      <c r="AC1413">
        <v>5.38</v>
      </c>
      <c r="AE1413" t="s">
        <v>346</v>
      </c>
      <c r="AF1413">
        <v>46.142674</v>
      </c>
      <c r="AG1413">
        <v>-115.598088</v>
      </c>
      <c r="AH1413">
        <v>16158509</v>
      </c>
    </row>
    <row r="1414" spans="2:34">
      <c r="B1414" t="s">
        <v>345</v>
      </c>
      <c r="C1414" t="s">
        <v>1442</v>
      </c>
      <c r="D1414" s="3">
        <v>42836.317361111112</v>
      </c>
      <c r="F1414">
        <v>2017</v>
      </c>
      <c r="G1414" t="s">
        <v>578</v>
      </c>
      <c r="H1414" t="s">
        <v>352</v>
      </c>
      <c r="J1414">
        <v>0</v>
      </c>
      <c r="L1414">
        <v>1</v>
      </c>
      <c r="M1414">
        <v>149</v>
      </c>
      <c r="N1414">
        <v>36</v>
      </c>
      <c r="O1414" t="s">
        <v>575</v>
      </c>
      <c r="Q1414" t="s">
        <v>1443</v>
      </c>
      <c r="U1414">
        <v>4</v>
      </c>
      <c r="V1414">
        <v>4</v>
      </c>
      <c r="W1414" t="s">
        <v>350</v>
      </c>
      <c r="X1414" t="s">
        <v>349</v>
      </c>
      <c r="Y1414" t="s">
        <v>580</v>
      </c>
      <c r="Z1414">
        <v>2017</v>
      </c>
      <c r="AB1414">
        <v>12</v>
      </c>
      <c r="AC1414">
        <v>5.38</v>
      </c>
      <c r="AE1414" t="s">
        <v>346</v>
      </c>
      <c r="AF1414">
        <v>46.142674</v>
      </c>
      <c r="AG1414">
        <v>-115.598088</v>
      </c>
      <c r="AH1414">
        <v>16158510</v>
      </c>
    </row>
    <row r="1415" spans="2:34">
      <c r="B1415" t="s">
        <v>345</v>
      </c>
      <c r="C1415" t="s">
        <v>1444</v>
      </c>
      <c r="D1415" s="3">
        <v>42820.331944444442</v>
      </c>
      <c r="F1415">
        <v>2017</v>
      </c>
      <c r="G1415" t="s">
        <v>351</v>
      </c>
      <c r="H1415" t="s">
        <v>352</v>
      </c>
      <c r="J1415">
        <v>0</v>
      </c>
      <c r="L1415">
        <v>1</v>
      </c>
      <c r="M1415">
        <v>121</v>
      </c>
      <c r="N1415">
        <v>3</v>
      </c>
      <c r="O1415" t="s">
        <v>353</v>
      </c>
      <c r="U1415">
        <v>5</v>
      </c>
      <c r="V1415">
        <v>4.9000000000000004</v>
      </c>
      <c r="W1415" t="s">
        <v>350</v>
      </c>
      <c r="X1415" t="s">
        <v>349</v>
      </c>
      <c r="Y1415" t="s">
        <v>580</v>
      </c>
      <c r="Z1415">
        <v>2017</v>
      </c>
      <c r="AB1415">
        <v>12</v>
      </c>
      <c r="AC1415">
        <v>6.36</v>
      </c>
      <c r="AE1415" t="s">
        <v>346</v>
      </c>
      <c r="AF1415">
        <v>46.142674</v>
      </c>
      <c r="AG1415">
        <v>-115.598088</v>
      </c>
      <c r="AH1415">
        <v>16207912</v>
      </c>
    </row>
    <row r="1416" spans="2:34">
      <c r="B1416" t="s">
        <v>345</v>
      </c>
      <c r="C1416" t="s">
        <v>1444</v>
      </c>
      <c r="D1416" s="3">
        <v>42820.331944444442</v>
      </c>
      <c r="F1416">
        <v>2017</v>
      </c>
      <c r="G1416" t="s">
        <v>578</v>
      </c>
      <c r="H1416" t="s">
        <v>352</v>
      </c>
      <c r="J1416">
        <v>0</v>
      </c>
      <c r="L1416">
        <v>1</v>
      </c>
      <c r="M1416">
        <v>155</v>
      </c>
      <c r="N1416">
        <v>32</v>
      </c>
      <c r="O1416" t="s">
        <v>575</v>
      </c>
      <c r="Q1416" t="s">
        <v>1445</v>
      </c>
      <c r="U1416">
        <v>5</v>
      </c>
      <c r="V1416">
        <v>4.9000000000000004</v>
      </c>
      <c r="W1416" t="s">
        <v>350</v>
      </c>
      <c r="X1416" t="s">
        <v>349</v>
      </c>
      <c r="Y1416" t="s">
        <v>580</v>
      </c>
      <c r="Z1416">
        <v>2017</v>
      </c>
      <c r="AB1416">
        <v>12</v>
      </c>
      <c r="AC1416">
        <v>6.36</v>
      </c>
      <c r="AE1416" t="s">
        <v>346</v>
      </c>
      <c r="AF1416">
        <v>46.142674</v>
      </c>
      <c r="AG1416">
        <v>-115.598088</v>
      </c>
      <c r="AH1416">
        <v>16207913</v>
      </c>
    </row>
    <row r="1417" spans="2:34">
      <c r="B1417" t="s">
        <v>345</v>
      </c>
      <c r="C1417" t="s">
        <v>1444</v>
      </c>
      <c r="D1417" s="3">
        <v>42820.331944444442</v>
      </c>
      <c r="F1417">
        <v>2017</v>
      </c>
      <c r="G1417" t="s">
        <v>578</v>
      </c>
      <c r="H1417" t="s">
        <v>352</v>
      </c>
      <c r="J1417">
        <v>0</v>
      </c>
      <c r="L1417">
        <v>1</v>
      </c>
      <c r="M1417">
        <v>139</v>
      </c>
      <c r="N1417">
        <v>32</v>
      </c>
      <c r="O1417" t="s">
        <v>575</v>
      </c>
      <c r="Q1417" t="s">
        <v>1446</v>
      </c>
      <c r="U1417">
        <v>5</v>
      </c>
      <c r="V1417">
        <v>4.9000000000000004</v>
      </c>
      <c r="W1417" t="s">
        <v>350</v>
      </c>
      <c r="X1417" t="s">
        <v>349</v>
      </c>
      <c r="Y1417" t="s">
        <v>580</v>
      </c>
      <c r="Z1417">
        <v>2017</v>
      </c>
      <c r="AB1417">
        <v>12</v>
      </c>
      <c r="AC1417">
        <v>6.36</v>
      </c>
      <c r="AE1417" t="s">
        <v>346</v>
      </c>
      <c r="AF1417">
        <v>46.142674</v>
      </c>
      <c r="AG1417">
        <v>-115.598088</v>
      </c>
      <c r="AH1417">
        <v>16207914</v>
      </c>
    </row>
    <row r="1418" spans="2:34">
      <c r="B1418" t="s">
        <v>345</v>
      </c>
      <c r="C1418" t="s">
        <v>1444</v>
      </c>
      <c r="D1418" s="3">
        <v>42820.331944444442</v>
      </c>
      <c r="F1418">
        <v>2017</v>
      </c>
      <c r="G1418" t="s">
        <v>574</v>
      </c>
      <c r="H1418" t="s">
        <v>352</v>
      </c>
      <c r="J1418">
        <v>0</v>
      </c>
      <c r="L1418">
        <v>1</v>
      </c>
      <c r="M1418">
        <v>92</v>
      </c>
      <c r="N1418">
        <v>8</v>
      </c>
      <c r="O1418" t="s">
        <v>575</v>
      </c>
      <c r="Q1418" t="s">
        <v>576</v>
      </c>
      <c r="U1418">
        <v>5</v>
      </c>
      <c r="V1418">
        <v>4.9000000000000004</v>
      </c>
      <c r="W1418" t="s">
        <v>350</v>
      </c>
      <c r="X1418" t="s">
        <v>349</v>
      </c>
      <c r="Y1418" t="s">
        <v>580</v>
      </c>
      <c r="Z1418">
        <v>2017</v>
      </c>
      <c r="AB1418">
        <v>12</v>
      </c>
      <c r="AC1418">
        <v>6.36</v>
      </c>
      <c r="AE1418" t="s">
        <v>346</v>
      </c>
      <c r="AF1418">
        <v>46.142674</v>
      </c>
      <c r="AG1418">
        <v>-115.598088</v>
      </c>
      <c r="AH1418">
        <v>16207915</v>
      </c>
    </row>
    <row r="1419" spans="2:34">
      <c r="B1419" t="s">
        <v>345</v>
      </c>
      <c r="C1419" t="s">
        <v>1447</v>
      </c>
      <c r="D1419" s="3">
        <v>42910.383333333331</v>
      </c>
      <c r="F1419">
        <v>2017</v>
      </c>
      <c r="G1419" t="s">
        <v>611</v>
      </c>
      <c r="H1419" t="s">
        <v>352</v>
      </c>
      <c r="J1419">
        <v>0</v>
      </c>
      <c r="L1419">
        <v>1</v>
      </c>
      <c r="M1419">
        <v>90</v>
      </c>
      <c r="N1419">
        <v>8</v>
      </c>
      <c r="O1419" t="s">
        <v>353</v>
      </c>
      <c r="R1419" t="s">
        <v>608</v>
      </c>
      <c r="U1419">
        <v>13.5</v>
      </c>
      <c r="V1419">
        <v>11.5</v>
      </c>
      <c r="W1419" t="s">
        <v>350</v>
      </c>
      <c r="X1419" t="s">
        <v>349</v>
      </c>
      <c r="Y1419" t="s">
        <v>348</v>
      </c>
      <c r="Z1419">
        <v>2017</v>
      </c>
      <c r="AB1419">
        <v>12</v>
      </c>
      <c r="AC1419">
        <v>4.71</v>
      </c>
      <c r="AE1419" t="s">
        <v>346</v>
      </c>
      <c r="AF1419">
        <v>46.142674</v>
      </c>
      <c r="AG1419">
        <v>-115.598088</v>
      </c>
      <c r="AH1419">
        <v>16211423</v>
      </c>
    </row>
    <row r="1420" spans="2:34">
      <c r="B1420" t="s">
        <v>345</v>
      </c>
      <c r="C1420" t="s">
        <v>1447</v>
      </c>
      <c r="D1420" s="3">
        <v>42910.383333333331</v>
      </c>
      <c r="F1420">
        <v>2017</v>
      </c>
      <c r="G1420" t="s">
        <v>578</v>
      </c>
      <c r="H1420" t="s">
        <v>352</v>
      </c>
      <c r="J1420">
        <v>0</v>
      </c>
      <c r="L1420">
        <v>1</v>
      </c>
      <c r="M1420">
        <v>108</v>
      </c>
      <c r="N1420">
        <v>13</v>
      </c>
      <c r="O1420" t="s">
        <v>702</v>
      </c>
      <c r="P1420" t="s">
        <v>635</v>
      </c>
      <c r="Q1420" t="s">
        <v>703</v>
      </c>
      <c r="R1420" t="s">
        <v>608</v>
      </c>
      <c r="U1420">
        <v>13.5</v>
      </c>
      <c r="V1420">
        <v>11.5</v>
      </c>
      <c r="W1420" t="s">
        <v>350</v>
      </c>
      <c r="X1420" t="s">
        <v>349</v>
      </c>
      <c r="Y1420" t="s">
        <v>348</v>
      </c>
      <c r="Z1420">
        <v>2017</v>
      </c>
      <c r="AB1420">
        <v>12</v>
      </c>
      <c r="AC1420">
        <v>4.71</v>
      </c>
      <c r="AE1420" t="s">
        <v>346</v>
      </c>
      <c r="AF1420">
        <v>46.142674</v>
      </c>
      <c r="AG1420">
        <v>-115.598088</v>
      </c>
      <c r="AH1420">
        <v>16211424</v>
      </c>
    </row>
    <row r="1421" spans="2:34">
      <c r="B1421" t="s">
        <v>345</v>
      </c>
      <c r="C1421" t="s">
        <v>1447</v>
      </c>
      <c r="D1421" s="3">
        <v>42910.383333333331</v>
      </c>
      <c r="F1421">
        <v>2017</v>
      </c>
      <c r="G1421" t="s">
        <v>482</v>
      </c>
      <c r="H1421" t="s">
        <v>352</v>
      </c>
      <c r="J1421">
        <v>0</v>
      </c>
      <c r="L1421">
        <v>1</v>
      </c>
      <c r="M1421">
        <v>85</v>
      </c>
      <c r="N1421">
        <v>6</v>
      </c>
      <c r="O1421" t="s">
        <v>353</v>
      </c>
      <c r="R1421" t="s">
        <v>608</v>
      </c>
      <c r="U1421">
        <v>13.5</v>
      </c>
      <c r="V1421">
        <v>11.5</v>
      </c>
      <c r="W1421" t="s">
        <v>350</v>
      </c>
      <c r="X1421" t="s">
        <v>349</v>
      </c>
      <c r="Y1421" t="s">
        <v>348</v>
      </c>
      <c r="Z1421">
        <v>2017</v>
      </c>
      <c r="AB1421">
        <v>12</v>
      </c>
      <c r="AC1421">
        <v>4.71</v>
      </c>
      <c r="AE1421" t="s">
        <v>346</v>
      </c>
      <c r="AF1421">
        <v>46.142674</v>
      </c>
      <c r="AG1421">
        <v>-115.598088</v>
      </c>
      <c r="AH1421">
        <v>16211425</v>
      </c>
    </row>
    <row r="1422" spans="2:34">
      <c r="B1422" t="s">
        <v>345</v>
      </c>
      <c r="C1422" t="s">
        <v>1447</v>
      </c>
      <c r="D1422" s="3">
        <v>42910.383333333331</v>
      </c>
      <c r="F1422">
        <v>2017</v>
      </c>
      <c r="G1422" t="s">
        <v>574</v>
      </c>
      <c r="H1422" t="s">
        <v>352</v>
      </c>
      <c r="J1422">
        <v>0</v>
      </c>
      <c r="L1422">
        <v>1</v>
      </c>
      <c r="M1422">
        <v>70</v>
      </c>
      <c r="N1422">
        <v>4</v>
      </c>
      <c r="O1422" t="s">
        <v>575</v>
      </c>
      <c r="Q1422" t="s">
        <v>576</v>
      </c>
      <c r="R1422" t="s">
        <v>608</v>
      </c>
      <c r="U1422">
        <v>13.5</v>
      </c>
      <c r="V1422">
        <v>11.5</v>
      </c>
      <c r="W1422" t="s">
        <v>350</v>
      </c>
      <c r="X1422" t="s">
        <v>349</v>
      </c>
      <c r="Y1422" t="s">
        <v>348</v>
      </c>
      <c r="Z1422">
        <v>2017</v>
      </c>
      <c r="AB1422">
        <v>12</v>
      </c>
      <c r="AC1422">
        <v>4.71</v>
      </c>
      <c r="AE1422" t="s">
        <v>346</v>
      </c>
      <c r="AF1422">
        <v>46.142674</v>
      </c>
      <c r="AG1422">
        <v>-115.598088</v>
      </c>
      <c r="AH1422">
        <v>16211426</v>
      </c>
    </row>
    <row r="1423" spans="2:34">
      <c r="B1423" t="s">
        <v>345</v>
      </c>
      <c r="C1423" t="s">
        <v>1447</v>
      </c>
      <c r="D1423" s="3">
        <v>42910.383333333331</v>
      </c>
      <c r="F1423">
        <v>2017</v>
      </c>
      <c r="G1423" t="s">
        <v>743</v>
      </c>
      <c r="H1423" t="s">
        <v>352</v>
      </c>
      <c r="J1423">
        <v>0</v>
      </c>
      <c r="L1423">
        <v>1</v>
      </c>
      <c r="M1423">
        <v>80</v>
      </c>
      <c r="N1423">
        <v>8</v>
      </c>
      <c r="O1423" t="s">
        <v>353</v>
      </c>
      <c r="R1423" t="s">
        <v>608</v>
      </c>
      <c r="U1423">
        <v>13.5</v>
      </c>
      <c r="V1423">
        <v>11.5</v>
      </c>
      <c r="W1423" t="s">
        <v>350</v>
      </c>
      <c r="X1423" t="s">
        <v>349</v>
      </c>
      <c r="Y1423" t="s">
        <v>348</v>
      </c>
      <c r="Z1423">
        <v>2017</v>
      </c>
      <c r="AB1423">
        <v>12</v>
      </c>
      <c r="AC1423">
        <v>4.71</v>
      </c>
      <c r="AE1423" t="s">
        <v>346</v>
      </c>
      <c r="AF1423">
        <v>46.142674</v>
      </c>
      <c r="AG1423">
        <v>-115.598088</v>
      </c>
      <c r="AH1423">
        <v>16211427</v>
      </c>
    </row>
    <row r="1424" spans="2:34">
      <c r="B1424" t="s">
        <v>345</v>
      </c>
      <c r="C1424" t="s">
        <v>1447</v>
      </c>
      <c r="D1424" s="3">
        <v>42910.383333333331</v>
      </c>
      <c r="F1424">
        <v>2017</v>
      </c>
      <c r="G1424" t="s">
        <v>605</v>
      </c>
      <c r="H1424" t="s">
        <v>352</v>
      </c>
      <c r="J1424">
        <v>0</v>
      </c>
      <c r="L1424">
        <v>1</v>
      </c>
      <c r="M1424">
        <v>73</v>
      </c>
      <c r="N1424">
        <v>4</v>
      </c>
      <c r="O1424" t="s">
        <v>353</v>
      </c>
      <c r="R1424" t="s">
        <v>608</v>
      </c>
      <c r="U1424">
        <v>13.5</v>
      </c>
      <c r="V1424">
        <v>11.5</v>
      </c>
      <c r="W1424" t="s">
        <v>350</v>
      </c>
      <c r="X1424" t="s">
        <v>349</v>
      </c>
      <c r="Y1424" t="s">
        <v>348</v>
      </c>
      <c r="Z1424">
        <v>2017</v>
      </c>
      <c r="AB1424">
        <v>12</v>
      </c>
      <c r="AC1424">
        <v>4.71</v>
      </c>
      <c r="AE1424" t="s">
        <v>346</v>
      </c>
      <c r="AF1424">
        <v>46.142674</v>
      </c>
      <c r="AG1424">
        <v>-115.598088</v>
      </c>
      <c r="AH1424">
        <v>16211428</v>
      </c>
    </row>
    <row r="1425" spans="2:34">
      <c r="B1425" t="s">
        <v>345</v>
      </c>
      <c r="C1425" t="s">
        <v>1447</v>
      </c>
      <c r="D1425" s="3">
        <v>42910.383333333331</v>
      </c>
      <c r="F1425">
        <v>2017</v>
      </c>
      <c r="G1425" t="s">
        <v>482</v>
      </c>
      <c r="H1425" t="s">
        <v>352</v>
      </c>
      <c r="J1425">
        <v>0</v>
      </c>
      <c r="L1425">
        <v>1</v>
      </c>
      <c r="M1425">
        <v>87</v>
      </c>
      <c r="N1425">
        <v>7</v>
      </c>
      <c r="O1425" t="s">
        <v>353</v>
      </c>
      <c r="R1425" t="s">
        <v>608</v>
      </c>
      <c r="U1425">
        <v>13.5</v>
      </c>
      <c r="V1425">
        <v>11.5</v>
      </c>
      <c r="W1425" t="s">
        <v>350</v>
      </c>
      <c r="X1425" t="s">
        <v>349</v>
      </c>
      <c r="Y1425" t="s">
        <v>348</v>
      </c>
      <c r="Z1425">
        <v>2017</v>
      </c>
      <c r="AB1425">
        <v>12</v>
      </c>
      <c r="AC1425">
        <v>4.71</v>
      </c>
      <c r="AE1425" t="s">
        <v>346</v>
      </c>
      <c r="AF1425">
        <v>46.142674</v>
      </c>
      <c r="AG1425">
        <v>-115.598088</v>
      </c>
      <c r="AH1425">
        <v>16211429</v>
      </c>
    </row>
    <row r="1426" spans="2:34">
      <c r="B1426" t="s">
        <v>345</v>
      </c>
      <c r="C1426" t="s">
        <v>1447</v>
      </c>
      <c r="D1426" s="3">
        <v>42910.383333333331</v>
      </c>
      <c r="F1426">
        <v>2017</v>
      </c>
      <c r="G1426" t="s">
        <v>482</v>
      </c>
      <c r="H1426" t="s">
        <v>352</v>
      </c>
      <c r="J1426">
        <v>0</v>
      </c>
      <c r="L1426">
        <v>1</v>
      </c>
      <c r="M1426">
        <v>76</v>
      </c>
      <c r="N1426">
        <v>6</v>
      </c>
      <c r="O1426" t="s">
        <v>353</v>
      </c>
      <c r="R1426" t="s">
        <v>608</v>
      </c>
      <c r="U1426">
        <v>13.5</v>
      </c>
      <c r="V1426">
        <v>11.5</v>
      </c>
      <c r="W1426" t="s">
        <v>350</v>
      </c>
      <c r="X1426" t="s">
        <v>349</v>
      </c>
      <c r="Y1426" t="s">
        <v>348</v>
      </c>
      <c r="Z1426">
        <v>2017</v>
      </c>
      <c r="AB1426">
        <v>12</v>
      </c>
      <c r="AC1426">
        <v>4.71</v>
      </c>
      <c r="AE1426" t="s">
        <v>346</v>
      </c>
      <c r="AF1426">
        <v>46.142674</v>
      </c>
      <c r="AG1426">
        <v>-115.598088</v>
      </c>
      <c r="AH1426">
        <v>16211430</v>
      </c>
    </row>
    <row r="1427" spans="2:34">
      <c r="B1427" t="s">
        <v>345</v>
      </c>
      <c r="C1427" t="s">
        <v>1447</v>
      </c>
      <c r="D1427" s="3">
        <v>42910.383333333331</v>
      </c>
      <c r="F1427">
        <v>2017</v>
      </c>
      <c r="G1427" t="s">
        <v>482</v>
      </c>
      <c r="H1427" t="s">
        <v>352</v>
      </c>
      <c r="J1427">
        <v>0</v>
      </c>
      <c r="L1427">
        <v>1</v>
      </c>
      <c r="M1427">
        <v>81</v>
      </c>
      <c r="N1427">
        <v>6</v>
      </c>
      <c r="O1427" t="s">
        <v>353</v>
      </c>
      <c r="R1427" t="s">
        <v>608</v>
      </c>
      <c r="U1427">
        <v>13.5</v>
      </c>
      <c r="V1427">
        <v>11.5</v>
      </c>
      <c r="W1427" t="s">
        <v>350</v>
      </c>
      <c r="X1427" t="s">
        <v>349</v>
      </c>
      <c r="Y1427" t="s">
        <v>348</v>
      </c>
      <c r="Z1427">
        <v>2017</v>
      </c>
      <c r="AB1427">
        <v>12</v>
      </c>
      <c r="AC1427">
        <v>4.71</v>
      </c>
      <c r="AE1427" t="s">
        <v>346</v>
      </c>
      <c r="AF1427">
        <v>46.142674</v>
      </c>
      <c r="AG1427">
        <v>-115.598088</v>
      </c>
      <c r="AH1427">
        <v>16211431</v>
      </c>
    </row>
    <row r="1428" spans="2:34">
      <c r="B1428" t="s">
        <v>345</v>
      </c>
      <c r="C1428" t="s">
        <v>1383</v>
      </c>
      <c r="D1428" s="3">
        <v>42907.322222222225</v>
      </c>
      <c r="F1428">
        <v>2017</v>
      </c>
      <c r="G1428" t="s">
        <v>743</v>
      </c>
      <c r="H1428" t="s">
        <v>352</v>
      </c>
      <c r="J1428">
        <v>0</v>
      </c>
      <c r="L1428">
        <v>1</v>
      </c>
      <c r="M1428">
        <v>80</v>
      </c>
      <c r="N1428">
        <v>7</v>
      </c>
      <c r="O1428" t="s">
        <v>353</v>
      </c>
      <c r="R1428" t="s">
        <v>1384</v>
      </c>
      <c r="U1428">
        <v>14</v>
      </c>
      <c r="V1428">
        <v>14</v>
      </c>
      <c r="W1428" t="s">
        <v>350</v>
      </c>
      <c r="X1428" t="s">
        <v>349</v>
      </c>
      <c r="Y1428" t="s">
        <v>580</v>
      </c>
      <c r="Z1428">
        <v>2017</v>
      </c>
      <c r="AB1428">
        <v>12</v>
      </c>
      <c r="AC1428">
        <v>5.62</v>
      </c>
      <c r="AE1428" t="s">
        <v>346</v>
      </c>
      <c r="AF1428">
        <v>46.142674</v>
      </c>
      <c r="AG1428">
        <v>-115.598088</v>
      </c>
      <c r="AH1428">
        <v>15995500</v>
      </c>
    </row>
    <row r="1429" spans="2:34">
      <c r="B1429" t="s">
        <v>345</v>
      </c>
      <c r="C1429" t="s">
        <v>1448</v>
      </c>
      <c r="D1429" s="3">
        <v>42965.385416666664</v>
      </c>
      <c r="F1429">
        <v>2017</v>
      </c>
      <c r="G1429" t="s">
        <v>605</v>
      </c>
      <c r="H1429" t="s">
        <v>352</v>
      </c>
      <c r="J1429">
        <v>0</v>
      </c>
      <c r="L1429">
        <v>40</v>
      </c>
      <c r="M1429">
        <v>0</v>
      </c>
      <c r="N1429">
        <v>0</v>
      </c>
      <c r="O1429" t="s">
        <v>606</v>
      </c>
      <c r="R1429" t="s">
        <v>1131</v>
      </c>
      <c r="U1429">
        <v>25</v>
      </c>
      <c r="V1429">
        <v>25</v>
      </c>
      <c r="W1429" t="s">
        <v>350</v>
      </c>
      <c r="X1429" t="s">
        <v>349</v>
      </c>
      <c r="Y1429" t="s">
        <v>642</v>
      </c>
      <c r="Z1429">
        <v>2017</v>
      </c>
      <c r="AB1429">
        <v>7</v>
      </c>
      <c r="AC1429">
        <v>1.96</v>
      </c>
      <c r="AE1429" t="s">
        <v>346</v>
      </c>
      <c r="AF1429">
        <v>46.142674</v>
      </c>
      <c r="AG1429">
        <v>-115.598088</v>
      </c>
      <c r="AH1429">
        <v>16090340</v>
      </c>
    </row>
    <row r="1430" spans="2:34">
      <c r="B1430" t="s">
        <v>345</v>
      </c>
      <c r="C1430" t="s">
        <v>1448</v>
      </c>
      <c r="D1430" s="3">
        <v>42965.385416666664</v>
      </c>
      <c r="F1430">
        <v>2017</v>
      </c>
      <c r="G1430" t="s">
        <v>602</v>
      </c>
      <c r="H1430" t="s">
        <v>352</v>
      </c>
      <c r="J1430">
        <v>0</v>
      </c>
      <c r="L1430">
        <v>1</v>
      </c>
      <c r="M1430">
        <v>0</v>
      </c>
      <c r="N1430">
        <v>0</v>
      </c>
      <c r="O1430" t="s">
        <v>643</v>
      </c>
      <c r="R1430" t="s">
        <v>1131</v>
      </c>
      <c r="U1430">
        <v>25</v>
      </c>
      <c r="V1430">
        <v>25</v>
      </c>
      <c r="W1430" t="s">
        <v>350</v>
      </c>
      <c r="X1430" t="s">
        <v>349</v>
      </c>
      <c r="Y1430" t="s">
        <v>642</v>
      </c>
      <c r="Z1430">
        <v>2017</v>
      </c>
      <c r="AB1430">
        <v>7</v>
      </c>
      <c r="AC1430">
        <v>1.96</v>
      </c>
      <c r="AE1430" t="s">
        <v>346</v>
      </c>
      <c r="AF1430">
        <v>46.142674</v>
      </c>
      <c r="AG1430">
        <v>-115.598088</v>
      </c>
      <c r="AH1430">
        <v>16090341</v>
      </c>
    </row>
    <row r="1431" spans="2:34">
      <c r="B1431" t="s">
        <v>345</v>
      </c>
      <c r="C1431" t="s">
        <v>1448</v>
      </c>
      <c r="D1431" s="3">
        <v>42965.385416666664</v>
      </c>
      <c r="F1431">
        <v>2017</v>
      </c>
      <c r="G1431" t="s">
        <v>480</v>
      </c>
      <c r="H1431" t="s">
        <v>352</v>
      </c>
      <c r="J1431">
        <v>0</v>
      </c>
      <c r="L1431">
        <v>1</v>
      </c>
      <c r="M1431">
        <v>0</v>
      </c>
      <c r="N1431">
        <v>0</v>
      </c>
      <c r="O1431" t="s">
        <v>643</v>
      </c>
      <c r="R1431" t="s">
        <v>1131</v>
      </c>
      <c r="U1431">
        <v>25</v>
      </c>
      <c r="V1431">
        <v>25</v>
      </c>
      <c r="W1431" t="s">
        <v>350</v>
      </c>
      <c r="X1431" t="s">
        <v>349</v>
      </c>
      <c r="Y1431" t="s">
        <v>642</v>
      </c>
      <c r="Z1431">
        <v>2017</v>
      </c>
      <c r="AB1431">
        <v>7</v>
      </c>
      <c r="AC1431">
        <v>1.96</v>
      </c>
      <c r="AE1431" t="s">
        <v>346</v>
      </c>
      <c r="AF1431">
        <v>46.142674</v>
      </c>
      <c r="AG1431">
        <v>-115.598088</v>
      </c>
      <c r="AH1431">
        <v>16090342</v>
      </c>
    </row>
    <row r="1432" spans="2:34">
      <c r="B1432" t="s">
        <v>345</v>
      </c>
      <c r="C1432" t="s">
        <v>1449</v>
      </c>
      <c r="D1432" s="3">
        <v>42826.383333333331</v>
      </c>
      <c r="F1432">
        <v>2017</v>
      </c>
      <c r="G1432" t="s">
        <v>611</v>
      </c>
      <c r="H1432" t="s">
        <v>352</v>
      </c>
      <c r="J1432">
        <v>0</v>
      </c>
      <c r="L1432">
        <v>1</v>
      </c>
      <c r="M1432">
        <v>86</v>
      </c>
      <c r="N1432">
        <v>6</v>
      </c>
      <c r="O1432" t="s">
        <v>353</v>
      </c>
      <c r="U1432">
        <v>5.5</v>
      </c>
      <c r="V1432">
        <v>5</v>
      </c>
      <c r="W1432" t="s">
        <v>350</v>
      </c>
      <c r="X1432" t="s">
        <v>349</v>
      </c>
      <c r="Y1432" t="s">
        <v>348</v>
      </c>
      <c r="Z1432">
        <v>2017</v>
      </c>
      <c r="AB1432">
        <v>11</v>
      </c>
      <c r="AC1432">
        <v>6.02</v>
      </c>
      <c r="AE1432" t="s">
        <v>346</v>
      </c>
      <c r="AF1432">
        <v>46.142674</v>
      </c>
      <c r="AG1432">
        <v>-115.598088</v>
      </c>
      <c r="AH1432">
        <v>16143121</v>
      </c>
    </row>
    <row r="1433" spans="2:34">
      <c r="B1433" t="s">
        <v>345</v>
      </c>
      <c r="C1433" t="s">
        <v>1449</v>
      </c>
      <c r="D1433" s="3">
        <v>42826.383333333331</v>
      </c>
      <c r="F1433">
        <v>2017</v>
      </c>
      <c r="G1433" t="s">
        <v>351</v>
      </c>
      <c r="H1433" t="s">
        <v>352</v>
      </c>
      <c r="J1433">
        <v>0</v>
      </c>
      <c r="L1433">
        <v>1</v>
      </c>
      <c r="M1433">
        <v>120</v>
      </c>
      <c r="N1433">
        <v>3</v>
      </c>
      <c r="O1433" t="s">
        <v>353</v>
      </c>
      <c r="U1433">
        <v>5.5</v>
      </c>
      <c r="V1433">
        <v>5</v>
      </c>
      <c r="W1433" t="s">
        <v>350</v>
      </c>
      <c r="X1433" t="s">
        <v>349</v>
      </c>
      <c r="Y1433" t="s">
        <v>348</v>
      </c>
      <c r="Z1433">
        <v>2017</v>
      </c>
      <c r="AB1433">
        <v>11</v>
      </c>
      <c r="AC1433">
        <v>6.02</v>
      </c>
      <c r="AE1433" t="s">
        <v>346</v>
      </c>
      <c r="AF1433">
        <v>46.142674</v>
      </c>
      <c r="AG1433">
        <v>-115.598088</v>
      </c>
      <c r="AH1433">
        <v>16143122</v>
      </c>
    </row>
    <row r="1434" spans="2:34">
      <c r="B1434" t="s">
        <v>345</v>
      </c>
      <c r="C1434" t="s">
        <v>1449</v>
      </c>
      <c r="D1434" s="3">
        <v>42826.383333333331</v>
      </c>
      <c r="F1434">
        <v>2017</v>
      </c>
      <c r="G1434" t="s">
        <v>605</v>
      </c>
      <c r="H1434" t="s">
        <v>352</v>
      </c>
      <c r="J1434">
        <v>0</v>
      </c>
      <c r="L1434">
        <v>1</v>
      </c>
      <c r="M1434">
        <v>38</v>
      </c>
      <c r="N1434">
        <v>0</v>
      </c>
      <c r="O1434" t="s">
        <v>353</v>
      </c>
      <c r="U1434">
        <v>5.5</v>
      </c>
      <c r="V1434">
        <v>5</v>
      </c>
      <c r="W1434" t="s">
        <v>350</v>
      </c>
      <c r="X1434" t="s">
        <v>349</v>
      </c>
      <c r="Y1434" t="s">
        <v>348</v>
      </c>
      <c r="Z1434">
        <v>2017</v>
      </c>
      <c r="AB1434">
        <v>11</v>
      </c>
      <c r="AC1434">
        <v>6.02</v>
      </c>
      <c r="AE1434" t="s">
        <v>346</v>
      </c>
      <c r="AF1434">
        <v>46.142674</v>
      </c>
      <c r="AG1434">
        <v>-115.598088</v>
      </c>
      <c r="AH1434">
        <v>16143123</v>
      </c>
    </row>
    <row r="1435" spans="2:34">
      <c r="B1435" t="s">
        <v>345</v>
      </c>
      <c r="C1435" t="s">
        <v>1449</v>
      </c>
      <c r="D1435" s="3">
        <v>42826.383333333331</v>
      </c>
      <c r="F1435">
        <v>2017</v>
      </c>
      <c r="G1435" t="s">
        <v>574</v>
      </c>
      <c r="H1435" t="s">
        <v>352</v>
      </c>
      <c r="J1435">
        <v>0</v>
      </c>
      <c r="L1435">
        <v>1</v>
      </c>
      <c r="M1435">
        <v>92</v>
      </c>
      <c r="N1435">
        <v>8</v>
      </c>
      <c r="O1435" t="s">
        <v>575</v>
      </c>
      <c r="Q1435" t="s">
        <v>576</v>
      </c>
      <c r="U1435">
        <v>5.5</v>
      </c>
      <c r="V1435">
        <v>5</v>
      </c>
      <c r="W1435" t="s">
        <v>350</v>
      </c>
      <c r="X1435" t="s">
        <v>349</v>
      </c>
      <c r="Y1435" t="s">
        <v>348</v>
      </c>
      <c r="Z1435">
        <v>2017</v>
      </c>
      <c r="AB1435">
        <v>11</v>
      </c>
      <c r="AC1435">
        <v>6.02</v>
      </c>
      <c r="AE1435" t="s">
        <v>346</v>
      </c>
      <c r="AF1435">
        <v>46.142674</v>
      </c>
      <c r="AG1435">
        <v>-115.598088</v>
      </c>
      <c r="AH1435">
        <v>16143124</v>
      </c>
    </row>
    <row r="1436" spans="2:34">
      <c r="B1436" t="s">
        <v>345</v>
      </c>
      <c r="C1436" t="s">
        <v>1450</v>
      </c>
      <c r="D1436" s="3">
        <v>42842.564583333333</v>
      </c>
      <c r="F1436">
        <v>2017</v>
      </c>
      <c r="G1436" t="s">
        <v>578</v>
      </c>
      <c r="H1436" t="s">
        <v>352</v>
      </c>
      <c r="J1436">
        <v>0</v>
      </c>
      <c r="L1436">
        <v>1</v>
      </c>
      <c r="M1436">
        <v>166</v>
      </c>
      <c r="N1436">
        <v>38</v>
      </c>
      <c r="O1436" t="s">
        <v>575</v>
      </c>
      <c r="Q1436" t="s">
        <v>1451</v>
      </c>
      <c r="R1436" t="s">
        <v>1452</v>
      </c>
      <c r="U1436">
        <v>6</v>
      </c>
      <c r="V1436">
        <v>7</v>
      </c>
      <c r="W1436" t="s">
        <v>350</v>
      </c>
      <c r="X1436" t="s">
        <v>349</v>
      </c>
      <c r="Y1436" t="s">
        <v>580</v>
      </c>
      <c r="Z1436">
        <v>2017</v>
      </c>
      <c r="AB1436">
        <v>12</v>
      </c>
      <c r="AC1436">
        <v>5.29</v>
      </c>
      <c r="AE1436" t="s">
        <v>346</v>
      </c>
      <c r="AF1436">
        <v>46.142674</v>
      </c>
      <c r="AG1436">
        <v>-115.598088</v>
      </c>
      <c r="AH1436">
        <v>16193325</v>
      </c>
    </row>
    <row r="1437" spans="2:34">
      <c r="B1437" t="s">
        <v>345</v>
      </c>
      <c r="C1437" t="s">
        <v>1450</v>
      </c>
      <c r="D1437" s="3">
        <v>42842.564583333333</v>
      </c>
      <c r="F1437">
        <v>2017</v>
      </c>
      <c r="G1437" t="s">
        <v>578</v>
      </c>
      <c r="H1437" t="s">
        <v>352</v>
      </c>
      <c r="J1437">
        <v>0</v>
      </c>
      <c r="L1437">
        <v>1</v>
      </c>
      <c r="M1437">
        <v>190</v>
      </c>
      <c r="N1437">
        <v>59</v>
      </c>
      <c r="O1437" t="s">
        <v>575</v>
      </c>
      <c r="Q1437" t="s">
        <v>1453</v>
      </c>
      <c r="R1437" t="s">
        <v>1452</v>
      </c>
      <c r="U1437">
        <v>6</v>
      </c>
      <c r="V1437">
        <v>7</v>
      </c>
      <c r="W1437" t="s">
        <v>350</v>
      </c>
      <c r="X1437" t="s">
        <v>349</v>
      </c>
      <c r="Y1437" t="s">
        <v>580</v>
      </c>
      <c r="Z1437">
        <v>2017</v>
      </c>
      <c r="AB1437">
        <v>12</v>
      </c>
      <c r="AC1437">
        <v>5.29</v>
      </c>
      <c r="AE1437" t="s">
        <v>346</v>
      </c>
      <c r="AF1437">
        <v>46.142674</v>
      </c>
      <c r="AG1437">
        <v>-115.598088</v>
      </c>
      <c r="AH1437">
        <v>16193326</v>
      </c>
    </row>
    <row r="1438" spans="2:34">
      <c r="B1438" t="s">
        <v>345</v>
      </c>
      <c r="C1438" t="s">
        <v>1450</v>
      </c>
      <c r="D1438" s="3">
        <v>42842.564583333333</v>
      </c>
      <c r="F1438">
        <v>2017</v>
      </c>
      <c r="G1438" t="s">
        <v>578</v>
      </c>
      <c r="H1438" t="s">
        <v>352</v>
      </c>
      <c r="J1438">
        <v>0</v>
      </c>
      <c r="L1438">
        <v>1</v>
      </c>
      <c r="M1438">
        <v>172</v>
      </c>
      <c r="N1438">
        <v>45</v>
      </c>
      <c r="O1438" t="s">
        <v>575</v>
      </c>
      <c r="Q1438" t="s">
        <v>1454</v>
      </c>
      <c r="R1438" t="s">
        <v>1452</v>
      </c>
      <c r="U1438">
        <v>6</v>
      </c>
      <c r="V1438">
        <v>7</v>
      </c>
      <c r="W1438" t="s">
        <v>350</v>
      </c>
      <c r="X1438" t="s">
        <v>349</v>
      </c>
      <c r="Y1438" t="s">
        <v>580</v>
      </c>
      <c r="Z1438">
        <v>2017</v>
      </c>
      <c r="AB1438">
        <v>12</v>
      </c>
      <c r="AC1438">
        <v>5.29</v>
      </c>
      <c r="AE1438" t="s">
        <v>346</v>
      </c>
      <c r="AF1438">
        <v>46.142674</v>
      </c>
      <c r="AG1438">
        <v>-115.598088</v>
      </c>
      <c r="AH1438">
        <v>16193327</v>
      </c>
    </row>
    <row r="1439" spans="2:34">
      <c r="B1439" t="s">
        <v>345</v>
      </c>
      <c r="C1439" t="s">
        <v>1450</v>
      </c>
      <c r="D1439" s="3">
        <v>42842.564583333333</v>
      </c>
      <c r="F1439">
        <v>2017</v>
      </c>
      <c r="G1439" t="s">
        <v>578</v>
      </c>
      <c r="H1439" t="s">
        <v>352</v>
      </c>
      <c r="J1439">
        <v>0</v>
      </c>
      <c r="L1439">
        <v>1</v>
      </c>
      <c r="M1439">
        <v>160</v>
      </c>
      <c r="N1439">
        <v>39</v>
      </c>
      <c r="O1439" t="s">
        <v>575</v>
      </c>
      <c r="Q1439" t="s">
        <v>1455</v>
      </c>
      <c r="R1439" t="s">
        <v>1452</v>
      </c>
      <c r="U1439">
        <v>6</v>
      </c>
      <c r="V1439">
        <v>7</v>
      </c>
      <c r="W1439" t="s">
        <v>350</v>
      </c>
      <c r="X1439" t="s">
        <v>349</v>
      </c>
      <c r="Y1439" t="s">
        <v>580</v>
      </c>
      <c r="Z1439">
        <v>2017</v>
      </c>
      <c r="AB1439">
        <v>12</v>
      </c>
      <c r="AC1439">
        <v>5.29</v>
      </c>
      <c r="AE1439" t="s">
        <v>346</v>
      </c>
      <c r="AF1439">
        <v>46.142674</v>
      </c>
      <c r="AG1439">
        <v>-115.598088</v>
      </c>
      <c r="AH1439">
        <v>16193328</v>
      </c>
    </row>
    <row r="1440" spans="2:34">
      <c r="B1440" t="s">
        <v>345</v>
      </c>
      <c r="C1440" t="s">
        <v>1450</v>
      </c>
      <c r="D1440" s="3">
        <v>42842.564583333333</v>
      </c>
      <c r="F1440">
        <v>2017</v>
      </c>
      <c r="G1440" t="s">
        <v>578</v>
      </c>
      <c r="H1440" t="s">
        <v>352</v>
      </c>
      <c r="J1440">
        <v>0</v>
      </c>
      <c r="L1440">
        <v>1</v>
      </c>
      <c r="M1440">
        <v>140</v>
      </c>
      <c r="N1440">
        <v>27</v>
      </c>
      <c r="O1440" t="s">
        <v>575</v>
      </c>
      <c r="Q1440" t="s">
        <v>1456</v>
      </c>
      <c r="R1440" t="s">
        <v>1452</v>
      </c>
      <c r="U1440">
        <v>6</v>
      </c>
      <c r="V1440">
        <v>7</v>
      </c>
      <c r="W1440" t="s">
        <v>350</v>
      </c>
      <c r="X1440" t="s">
        <v>349</v>
      </c>
      <c r="Y1440" t="s">
        <v>580</v>
      </c>
      <c r="Z1440">
        <v>2017</v>
      </c>
      <c r="AB1440">
        <v>12</v>
      </c>
      <c r="AC1440">
        <v>5.29</v>
      </c>
      <c r="AE1440" t="s">
        <v>346</v>
      </c>
      <c r="AF1440">
        <v>46.142674</v>
      </c>
      <c r="AG1440">
        <v>-115.598088</v>
      </c>
      <c r="AH1440">
        <v>16193329</v>
      </c>
    </row>
    <row r="1441" spans="2:35">
      <c r="B1441" t="s">
        <v>345</v>
      </c>
      <c r="C1441" t="s">
        <v>1450</v>
      </c>
      <c r="D1441" s="3">
        <v>42842.564583333333</v>
      </c>
      <c r="F1441">
        <v>2017</v>
      </c>
      <c r="G1441" t="s">
        <v>578</v>
      </c>
      <c r="H1441" t="s">
        <v>352</v>
      </c>
      <c r="J1441">
        <v>0</v>
      </c>
      <c r="L1441">
        <v>1</v>
      </c>
      <c r="M1441">
        <v>190</v>
      </c>
      <c r="N1441">
        <v>62</v>
      </c>
      <c r="O1441" t="s">
        <v>575</v>
      </c>
      <c r="Q1441" t="s">
        <v>1457</v>
      </c>
      <c r="R1441" t="s">
        <v>1452</v>
      </c>
      <c r="U1441">
        <v>6</v>
      </c>
      <c r="V1441">
        <v>7</v>
      </c>
      <c r="W1441" t="s">
        <v>350</v>
      </c>
      <c r="X1441" t="s">
        <v>349</v>
      </c>
      <c r="Y1441" t="s">
        <v>580</v>
      </c>
      <c r="Z1441">
        <v>2017</v>
      </c>
      <c r="AB1441">
        <v>12</v>
      </c>
      <c r="AC1441">
        <v>5.29</v>
      </c>
      <c r="AE1441" t="s">
        <v>346</v>
      </c>
      <c r="AF1441">
        <v>46.142674</v>
      </c>
      <c r="AG1441">
        <v>-115.598088</v>
      </c>
      <c r="AH1441">
        <v>16193330</v>
      </c>
    </row>
    <row r="1442" spans="2:35">
      <c r="B1442" t="s">
        <v>345</v>
      </c>
      <c r="C1442" t="s">
        <v>1450</v>
      </c>
      <c r="D1442" s="3">
        <v>42842.564583333333</v>
      </c>
      <c r="F1442">
        <v>2017</v>
      </c>
      <c r="G1442" t="s">
        <v>578</v>
      </c>
      <c r="H1442" t="s">
        <v>352</v>
      </c>
      <c r="J1442">
        <v>0</v>
      </c>
      <c r="L1442">
        <v>1</v>
      </c>
      <c r="M1442">
        <v>187</v>
      </c>
      <c r="N1442">
        <v>54</v>
      </c>
      <c r="O1442" t="s">
        <v>575</v>
      </c>
      <c r="Q1442" t="s">
        <v>1458</v>
      </c>
      <c r="R1442" t="s">
        <v>1452</v>
      </c>
      <c r="U1442">
        <v>6</v>
      </c>
      <c r="V1442">
        <v>7</v>
      </c>
      <c r="W1442" t="s">
        <v>350</v>
      </c>
      <c r="X1442" t="s">
        <v>349</v>
      </c>
      <c r="Y1442" t="s">
        <v>580</v>
      </c>
      <c r="Z1442">
        <v>2017</v>
      </c>
      <c r="AB1442">
        <v>12</v>
      </c>
      <c r="AC1442">
        <v>5.29</v>
      </c>
      <c r="AE1442" t="s">
        <v>346</v>
      </c>
      <c r="AF1442">
        <v>46.142674</v>
      </c>
      <c r="AG1442">
        <v>-115.598088</v>
      </c>
      <c r="AH1442">
        <v>16193331</v>
      </c>
    </row>
    <row r="1443" spans="2:35">
      <c r="B1443" t="s">
        <v>345</v>
      </c>
      <c r="C1443" t="s">
        <v>1450</v>
      </c>
      <c r="D1443" s="3">
        <v>42842.564583333333</v>
      </c>
      <c r="F1443">
        <v>2017</v>
      </c>
      <c r="G1443" t="s">
        <v>578</v>
      </c>
      <c r="H1443" t="s">
        <v>352</v>
      </c>
      <c r="J1443">
        <v>0</v>
      </c>
      <c r="L1443">
        <v>1</v>
      </c>
      <c r="M1443">
        <v>176</v>
      </c>
      <c r="N1443">
        <v>50</v>
      </c>
      <c r="O1443" t="s">
        <v>575</v>
      </c>
      <c r="Q1443" t="s">
        <v>1459</v>
      </c>
      <c r="R1443" t="s">
        <v>1452</v>
      </c>
      <c r="U1443">
        <v>6</v>
      </c>
      <c r="V1443">
        <v>7</v>
      </c>
      <c r="W1443" t="s">
        <v>350</v>
      </c>
      <c r="X1443" t="s">
        <v>349</v>
      </c>
      <c r="Y1443" t="s">
        <v>580</v>
      </c>
      <c r="Z1443">
        <v>2017</v>
      </c>
      <c r="AB1443">
        <v>12</v>
      </c>
      <c r="AC1443">
        <v>5.29</v>
      </c>
      <c r="AE1443" t="s">
        <v>346</v>
      </c>
      <c r="AF1443">
        <v>46.142674</v>
      </c>
      <c r="AG1443">
        <v>-115.598088</v>
      </c>
      <c r="AH1443">
        <v>16193332</v>
      </c>
    </row>
    <row r="1444" spans="2:35">
      <c r="B1444" t="s">
        <v>345</v>
      </c>
      <c r="C1444" t="s">
        <v>1450</v>
      </c>
      <c r="D1444" s="3">
        <v>42842.564583333333</v>
      </c>
      <c r="F1444">
        <v>2017</v>
      </c>
      <c r="G1444" t="s">
        <v>578</v>
      </c>
      <c r="H1444" t="s">
        <v>352</v>
      </c>
      <c r="J1444">
        <v>0</v>
      </c>
      <c r="L1444">
        <v>1</v>
      </c>
      <c r="M1444">
        <v>174</v>
      </c>
      <c r="N1444">
        <v>49</v>
      </c>
      <c r="O1444" t="s">
        <v>575</v>
      </c>
      <c r="Q1444" t="s">
        <v>1460</v>
      </c>
      <c r="R1444" t="s">
        <v>1452</v>
      </c>
      <c r="U1444">
        <v>6</v>
      </c>
      <c r="V1444">
        <v>7</v>
      </c>
      <c r="W1444" t="s">
        <v>350</v>
      </c>
      <c r="X1444" t="s">
        <v>349</v>
      </c>
      <c r="Y1444" t="s">
        <v>580</v>
      </c>
      <c r="Z1444">
        <v>2017</v>
      </c>
      <c r="AB1444">
        <v>12</v>
      </c>
      <c r="AC1444">
        <v>5.29</v>
      </c>
      <c r="AE1444" t="s">
        <v>346</v>
      </c>
      <c r="AF1444">
        <v>46.142674</v>
      </c>
      <c r="AG1444">
        <v>-115.598088</v>
      </c>
      <c r="AH1444">
        <v>16193333</v>
      </c>
    </row>
    <row r="1445" spans="2:35">
      <c r="B1445" t="s">
        <v>345</v>
      </c>
      <c r="C1445" t="s">
        <v>1425</v>
      </c>
      <c r="D1445" s="3">
        <v>42881.711111111108</v>
      </c>
      <c r="F1445">
        <v>2017</v>
      </c>
      <c r="G1445" t="s">
        <v>351</v>
      </c>
      <c r="H1445" t="s">
        <v>352</v>
      </c>
      <c r="J1445">
        <v>0</v>
      </c>
      <c r="L1445">
        <v>1</v>
      </c>
      <c r="M1445">
        <v>128</v>
      </c>
      <c r="N1445">
        <v>3</v>
      </c>
      <c r="O1445" t="s">
        <v>353</v>
      </c>
      <c r="R1445" t="s">
        <v>608</v>
      </c>
      <c r="U1445">
        <v>7.5</v>
      </c>
      <c r="V1445">
        <v>7</v>
      </c>
      <c r="W1445" t="s">
        <v>350</v>
      </c>
      <c r="X1445" t="s">
        <v>349</v>
      </c>
      <c r="Y1445" t="s">
        <v>348</v>
      </c>
      <c r="Z1445">
        <v>2017</v>
      </c>
      <c r="AB1445">
        <v>10</v>
      </c>
      <c r="AC1445">
        <v>7.67</v>
      </c>
      <c r="AE1445" t="s">
        <v>346</v>
      </c>
      <c r="AF1445">
        <v>46.142674</v>
      </c>
      <c r="AG1445">
        <v>-115.598088</v>
      </c>
      <c r="AH1445">
        <v>16126216</v>
      </c>
    </row>
    <row r="1446" spans="2:35">
      <c r="B1446" t="s">
        <v>345</v>
      </c>
      <c r="C1446" t="s">
        <v>1425</v>
      </c>
      <c r="D1446" s="3">
        <v>42881.711111111108</v>
      </c>
      <c r="F1446">
        <v>2017</v>
      </c>
      <c r="G1446" t="s">
        <v>636</v>
      </c>
      <c r="H1446" t="s">
        <v>352</v>
      </c>
      <c r="J1446">
        <v>0</v>
      </c>
      <c r="L1446">
        <v>1</v>
      </c>
      <c r="M1446">
        <v>66</v>
      </c>
      <c r="N1446">
        <v>4</v>
      </c>
      <c r="O1446" t="s">
        <v>353</v>
      </c>
      <c r="R1446" t="s">
        <v>608</v>
      </c>
      <c r="U1446">
        <v>7.5</v>
      </c>
      <c r="V1446">
        <v>7</v>
      </c>
      <c r="W1446" t="s">
        <v>350</v>
      </c>
      <c r="X1446" t="s">
        <v>349</v>
      </c>
      <c r="Y1446" t="s">
        <v>348</v>
      </c>
      <c r="Z1446">
        <v>2017</v>
      </c>
      <c r="AB1446">
        <v>10</v>
      </c>
      <c r="AC1446">
        <v>7.67</v>
      </c>
      <c r="AE1446" t="s">
        <v>346</v>
      </c>
      <c r="AF1446">
        <v>46.142674</v>
      </c>
      <c r="AG1446">
        <v>-115.598088</v>
      </c>
      <c r="AH1446">
        <v>16126217</v>
      </c>
    </row>
    <row r="1447" spans="2:35">
      <c r="B1447" t="s">
        <v>345</v>
      </c>
      <c r="C1447" t="s">
        <v>1461</v>
      </c>
      <c r="D1447" s="3">
        <v>42919.746527777781</v>
      </c>
      <c r="F1447">
        <v>2017</v>
      </c>
      <c r="G1447" t="s">
        <v>611</v>
      </c>
      <c r="H1447" t="s">
        <v>352</v>
      </c>
      <c r="J1447">
        <v>0</v>
      </c>
      <c r="L1447">
        <v>12</v>
      </c>
      <c r="M1447">
        <v>0</v>
      </c>
      <c r="N1447">
        <v>0</v>
      </c>
      <c r="O1447" t="s">
        <v>643</v>
      </c>
      <c r="R1447" t="s">
        <v>1462</v>
      </c>
      <c r="U1447">
        <v>25</v>
      </c>
      <c r="V1447">
        <v>25</v>
      </c>
      <c r="W1447" t="s">
        <v>350</v>
      </c>
      <c r="X1447" t="s">
        <v>349</v>
      </c>
      <c r="Y1447" t="s">
        <v>348</v>
      </c>
      <c r="Z1447">
        <v>2017</v>
      </c>
      <c r="AB1447">
        <v>9</v>
      </c>
      <c r="AC1447">
        <v>3.65</v>
      </c>
      <c r="AE1447" t="s">
        <v>346</v>
      </c>
      <c r="AF1447">
        <v>46.142674</v>
      </c>
      <c r="AG1447">
        <v>-115.598088</v>
      </c>
      <c r="AH1447">
        <v>16179843</v>
      </c>
    </row>
    <row r="1448" spans="2:35">
      <c r="B1448" t="s">
        <v>345</v>
      </c>
      <c r="C1448" t="s">
        <v>1461</v>
      </c>
      <c r="D1448" s="3">
        <v>42919.746527777781</v>
      </c>
      <c r="F1448">
        <v>2017</v>
      </c>
      <c r="G1448" t="s">
        <v>605</v>
      </c>
      <c r="H1448" t="s">
        <v>352</v>
      </c>
      <c r="J1448">
        <v>0</v>
      </c>
      <c r="L1448">
        <v>2</v>
      </c>
      <c r="M1448">
        <v>0</v>
      </c>
      <c r="N1448">
        <v>0</v>
      </c>
      <c r="O1448" t="s">
        <v>643</v>
      </c>
      <c r="R1448" t="s">
        <v>1462</v>
      </c>
      <c r="U1448">
        <v>25</v>
      </c>
      <c r="V1448">
        <v>25</v>
      </c>
      <c r="W1448" t="s">
        <v>350</v>
      </c>
      <c r="X1448" t="s">
        <v>349</v>
      </c>
      <c r="Y1448" t="s">
        <v>348</v>
      </c>
      <c r="Z1448">
        <v>2017</v>
      </c>
      <c r="AB1448">
        <v>9</v>
      </c>
      <c r="AC1448">
        <v>3.65</v>
      </c>
      <c r="AE1448" t="s">
        <v>346</v>
      </c>
      <c r="AF1448">
        <v>46.142674</v>
      </c>
      <c r="AG1448">
        <v>-115.598088</v>
      </c>
      <c r="AH1448">
        <v>16179844</v>
      </c>
    </row>
    <row r="1449" spans="2:35">
      <c r="B1449" t="s">
        <v>345</v>
      </c>
      <c r="C1449" t="s">
        <v>1461</v>
      </c>
      <c r="D1449" s="3">
        <v>42919.746527777781</v>
      </c>
      <c r="F1449">
        <v>2017</v>
      </c>
      <c r="G1449" t="s">
        <v>743</v>
      </c>
      <c r="H1449" t="s">
        <v>352</v>
      </c>
      <c r="J1449">
        <v>0</v>
      </c>
      <c r="L1449">
        <v>4</v>
      </c>
      <c r="M1449">
        <v>0</v>
      </c>
      <c r="N1449">
        <v>0</v>
      </c>
      <c r="O1449" t="s">
        <v>643</v>
      </c>
      <c r="R1449" t="s">
        <v>1462</v>
      </c>
      <c r="U1449">
        <v>25</v>
      </c>
      <c r="V1449">
        <v>25</v>
      </c>
      <c r="W1449" t="s">
        <v>350</v>
      </c>
      <c r="X1449" t="s">
        <v>349</v>
      </c>
      <c r="Y1449" t="s">
        <v>348</v>
      </c>
      <c r="Z1449">
        <v>2017</v>
      </c>
      <c r="AB1449">
        <v>9</v>
      </c>
      <c r="AC1449">
        <v>3.65</v>
      </c>
      <c r="AE1449" t="s">
        <v>346</v>
      </c>
      <c r="AF1449">
        <v>46.142674</v>
      </c>
      <c r="AG1449">
        <v>-115.598088</v>
      </c>
      <c r="AH1449">
        <v>16179845</v>
      </c>
    </row>
    <row r="1450" spans="2:35">
      <c r="B1450" t="s">
        <v>345</v>
      </c>
      <c r="C1450" t="s">
        <v>1463</v>
      </c>
      <c r="D1450" s="3">
        <v>42879.428472222222</v>
      </c>
      <c r="F1450">
        <v>2017</v>
      </c>
      <c r="G1450" t="s">
        <v>578</v>
      </c>
      <c r="H1450" t="s">
        <v>352</v>
      </c>
      <c r="J1450">
        <v>0</v>
      </c>
      <c r="L1450">
        <v>1</v>
      </c>
      <c r="M1450">
        <v>158</v>
      </c>
      <c r="N1450">
        <v>36</v>
      </c>
      <c r="O1450" t="s">
        <v>1464</v>
      </c>
      <c r="Q1450" t="s">
        <v>1465</v>
      </c>
      <c r="R1450" t="s">
        <v>1466</v>
      </c>
      <c r="U1450">
        <v>9.5</v>
      </c>
      <c r="V1450">
        <v>8</v>
      </c>
      <c r="W1450" t="s">
        <v>350</v>
      </c>
      <c r="X1450" t="s">
        <v>349</v>
      </c>
      <c r="Y1450" t="s">
        <v>348</v>
      </c>
      <c r="Z1450">
        <v>2017</v>
      </c>
      <c r="AC1450">
        <v>8.81</v>
      </c>
      <c r="AE1450" t="s">
        <v>346</v>
      </c>
      <c r="AF1450">
        <v>46.142674</v>
      </c>
      <c r="AG1450">
        <v>-115.598088</v>
      </c>
      <c r="AH1450">
        <v>16222104</v>
      </c>
      <c r="AI1450">
        <f>17-76531</f>
        <v>-76514</v>
      </c>
    </row>
    <row r="1451" spans="2:35">
      <c r="B1451" t="s">
        <v>345</v>
      </c>
      <c r="C1451" t="s">
        <v>1467</v>
      </c>
      <c r="D1451" s="3">
        <v>42946.65902777778</v>
      </c>
      <c r="F1451">
        <v>2017</v>
      </c>
      <c r="G1451" t="s">
        <v>605</v>
      </c>
      <c r="H1451" t="s">
        <v>352</v>
      </c>
      <c r="J1451">
        <v>0</v>
      </c>
      <c r="L1451">
        <v>15</v>
      </c>
      <c r="M1451">
        <v>0</v>
      </c>
      <c r="N1451">
        <v>0</v>
      </c>
      <c r="O1451" t="s">
        <v>606</v>
      </c>
      <c r="R1451" t="s">
        <v>691</v>
      </c>
      <c r="U1451">
        <v>25</v>
      </c>
      <c r="V1451">
        <v>25</v>
      </c>
      <c r="W1451" t="s">
        <v>350</v>
      </c>
      <c r="X1451" t="s">
        <v>349</v>
      </c>
      <c r="Y1451" t="s">
        <v>348</v>
      </c>
      <c r="Z1451">
        <v>2017</v>
      </c>
      <c r="AB1451">
        <v>6</v>
      </c>
      <c r="AC1451">
        <v>2.27</v>
      </c>
      <c r="AE1451" t="s">
        <v>346</v>
      </c>
      <c r="AF1451">
        <v>46.142674</v>
      </c>
      <c r="AG1451">
        <v>-115.598088</v>
      </c>
      <c r="AH1451">
        <v>16271602</v>
      </c>
    </row>
    <row r="1452" spans="2:35">
      <c r="B1452" t="s">
        <v>345</v>
      </c>
      <c r="C1452" t="s">
        <v>1467</v>
      </c>
      <c r="D1452" s="3">
        <v>42946.65902777778</v>
      </c>
      <c r="F1452">
        <v>2017</v>
      </c>
      <c r="G1452" t="s">
        <v>605</v>
      </c>
      <c r="H1452" t="s">
        <v>352</v>
      </c>
      <c r="J1452">
        <v>0</v>
      </c>
      <c r="L1452">
        <v>2</v>
      </c>
      <c r="M1452">
        <v>0</v>
      </c>
      <c r="N1452">
        <v>0</v>
      </c>
      <c r="O1452" t="s">
        <v>643</v>
      </c>
      <c r="R1452" t="s">
        <v>691</v>
      </c>
      <c r="U1452">
        <v>25</v>
      </c>
      <c r="V1452">
        <v>25</v>
      </c>
      <c r="W1452" t="s">
        <v>350</v>
      </c>
      <c r="X1452" t="s">
        <v>349</v>
      </c>
      <c r="Y1452" t="s">
        <v>348</v>
      </c>
      <c r="Z1452">
        <v>2017</v>
      </c>
      <c r="AB1452">
        <v>6</v>
      </c>
      <c r="AC1452">
        <v>2.27</v>
      </c>
      <c r="AE1452" t="s">
        <v>346</v>
      </c>
      <c r="AF1452">
        <v>46.142674</v>
      </c>
      <c r="AG1452">
        <v>-115.598088</v>
      </c>
      <c r="AH1452">
        <v>16271603</v>
      </c>
    </row>
    <row r="1453" spans="2:35">
      <c r="B1453" t="s">
        <v>345</v>
      </c>
      <c r="C1453" t="s">
        <v>1467</v>
      </c>
      <c r="D1453" s="3">
        <v>42946.65902777778</v>
      </c>
      <c r="F1453">
        <v>2017</v>
      </c>
      <c r="G1453" t="s">
        <v>611</v>
      </c>
      <c r="H1453" t="s">
        <v>352</v>
      </c>
      <c r="J1453">
        <v>0</v>
      </c>
      <c r="L1453">
        <v>2</v>
      </c>
      <c r="M1453">
        <v>0</v>
      </c>
      <c r="N1453">
        <v>0</v>
      </c>
      <c r="O1453" t="s">
        <v>643</v>
      </c>
      <c r="R1453" t="s">
        <v>691</v>
      </c>
      <c r="U1453">
        <v>25</v>
      </c>
      <c r="V1453">
        <v>25</v>
      </c>
      <c r="W1453" t="s">
        <v>350</v>
      </c>
      <c r="X1453" t="s">
        <v>349</v>
      </c>
      <c r="Y1453" t="s">
        <v>348</v>
      </c>
      <c r="Z1453">
        <v>2017</v>
      </c>
      <c r="AB1453">
        <v>6</v>
      </c>
      <c r="AC1453">
        <v>2.27</v>
      </c>
      <c r="AE1453" t="s">
        <v>346</v>
      </c>
      <c r="AF1453">
        <v>46.142674</v>
      </c>
      <c r="AG1453">
        <v>-115.598088</v>
      </c>
      <c r="AH1453">
        <v>16271604</v>
      </c>
    </row>
    <row r="1454" spans="2:35">
      <c r="B1454" t="s">
        <v>345</v>
      </c>
      <c r="C1454" t="s">
        <v>1468</v>
      </c>
      <c r="D1454" s="3">
        <v>42926.284722222219</v>
      </c>
      <c r="F1454">
        <v>2017</v>
      </c>
      <c r="G1454" t="s">
        <v>615</v>
      </c>
      <c r="H1454" t="s">
        <v>352</v>
      </c>
      <c r="J1454">
        <v>0</v>
      </c>
      <c r="L1454">
        <v>1</v>
      </c>
      <c r="M1454">
        <v>0</v>
      </c>
      <c r="N1454">
        <v>0</v>
      </c>
      <c r="O1454" t="s">
        <v>643</v>
      </c>
      <c r="U1454">
        <v>25</v>
      </c>
      <c r="V1454">
        <v>25</v>
      </c>
      <c r="W1454" t="s">
        <v>350</v>
      </c>
      <c r="X1454" t="s">
        <v>349</v>
      </c>
      <c r="Y1454" t="s">
        <v>642</v>
      </c>
      <c r="Z1454">
        <v>2017</v>
      </c>
      <c r="AB1454">
        <v>13</v>
      </c>
      <c r="AC1454">
        <v>3.09</v>
      </c>
      <c r="AE1454" t="s">
        <v>346</v>
      </c>
      <c r="AF1454">
        <v>46.142674</v>
      </c>
      <c r="AG1454">
        <v>-115.598088</v>
      </c>
      <c r="AH1454">
        <v>16273059</v>
      </c>
    </row>
    <row r="1455" spans="2:35">
      <c r="B1455" t="s">
        <v>345</v>
      </c>
      <c r="C1455" t="s">
        <v>1468</v>
      </c>
      <c r="D1455" s="3">
        <v>42926.284722222219</v>
      </c>
      <c r="F1455">
        <v>2017</v>
      </c>
      <c r="G1455" t="s">
        <v>480</v>
      </c>
      <c r="H1455" t="s">
        <v>352</v>
      </c>
      <c r="J1455">
        <v>0</v>
      </c>
      <c r="L1455">
        <v>1</v>
      </c>
      <c r="M1455">
        <v>0</v>
      </c>
      <c r="N1455">
        <v>0</v>
      </c>
      <c r="O1455" t="s">
        <v>643</v>
      </c>
      <c r="U1455">
        <v>25</v>
      </c>
      <c r="V1455">
        <v>25</v>
      </c>
      <c r="W1455" t="s">
        <v>350</v>
      </c>
      <c r="X1455" t="s">
        <v>349</v>
      </c>
      <c r="Y1455" t="s">
        <v>642</v>
      </c>
      <c r="Z1455">
        <v>2017</v>
      </c>
      <c r="AB1455">
        <v>13</v>
      </c>
      <c r="AC1455">
        <v>3.09</v>
      </c>
      <c r="AE1455" t="s">
        <v>346</v>
      </c>
      <c r="AF1455">
        <v>46.142674</v>
      </c>
      <c r="AG1455">
        <v>-115.598088</v>
      </c>
      <c r="AH1455">
        <v>16273060</v>
      </c>
    </row>
    <row r="1456" spans="2:35">
      <c r="B1456" t="s">
        <v>345</v>
      </c>
      <c r="C1456" t="s">
        <v>1468</v>
      </c>
      <c r="D1456" s="3">
        <v>42926.284722222219</v>
      </c>
      <c r="F1456">
        <v>2017</v>
      </c>
      <c r="G1456" t="s">
        <v>574</v>
      </c>
      <c r="H1456" t="s">
        <v>352</v>
      </c>
      <c r="J1456">
        <v>0</v>
      </c>
      <c r="L1456">
        <v>1</v>
      </c>
      <c r="M1456">
        <v>0</v>
      </c>
      <c r="N1456">
        <v>0</v>
      </c>
      <c r="O1456" t="s">
        <v>773</v>
      </c>
      <c r="U1456">
        <v>25</v>
      </c>
      <c r="V1456">
        <v>25</v>
      </c>
      <c r="W1456" t="s">
        <v>350</v>
      </c>
      <c r="X1456" t="s">
        <v>349</v>
      </c>
      <c r="Y1456" t="s">
        <v>642</v>
      </c>
      <c r="Z1456">
        <v>2017</v>
      </c>
      <c r="AB1456">
        <v>13</v>
      </c>
      <c r="AC1456">
        <v>3.09</v>
      </c>
      <c r="AE1456" t="s">
        <v>346</v>
      </c>
      <c r="AF1456">
        <v>46.142674</v>
      </c>
      <c r="AG1456">
        <v>-115.598088</v>
      </c>
      <c r="AH1456">
        <v>16273061</v>
      </c>
    </row>
    <row r="1457" spans="2:34">
      <c r="B1457" t="s">
        <v>345</v>
      </c>
      <c r="C1457" t="s">
        <v>1468</v>
      </c>
      <c r="D1457" s="3">
        <v>42926.284722222219</v>
      </c>
      <c r="F1457">
        <v>2017</v>
      </c>
      <c r="G1457" t="s">
        <v>605</v>
      </c>
      <c r="H1457" t="s">
        <v>352</v>
      </c>
      <c r="J1457">
        <v>0</v>
      </c>
      <c r="L1457">
        <v>1</v>
      </c>
      <c r="M1457">
        <v>0</v>
      </c>
      <c r="N1457">
        <v>0</v>
      </c>
      <c r="O1457" t="s">
        <v>643</v>
      </c>
      <c r="U1457">
        <v>25</v>
      </c>
      <c r="V1457">
        <v>25</v>
      </c>
      <c r="W1457" t="s">
        <v>350</v>
      </c>
      <c r="X1457" t="s">
        <v>349</v>
      </c>
      <c r="Y1457" t="s">
        <v>642</v>
      </c>
      <c r="Z1457">
        <v>2017</v>
      </c>
      <c r="AB1457">
        <v>13</v>
      </c>
      <c r="AC1457">
        <v>3.09</v>
      </c>
      <c r="AE1457" t="s">
        <v>346</v>
      </c>
      <c r="AF1457">
        <v>46.142674</v>
      </c>
      <c r="AG1457">
        <v>-115.598088</v>
      </c>
      <c r="AH1457">
        <v>16273062</v>
      </c>
    </row>
    <row r="1458" spans="2:34">
      <c r="B1458" t="s">
        <v>345</v>
      </c>
      <c r="C1458" t="s">
        <v>1468</v>
      </c>
      <c r="D1458" s="3">
        <v>42926.284722222219</v>
      </c>
      <c r="F1458">
        <v>2017</v>
      </c>
      <c r="G1458" t="s">
        <v>602</v>
      </c>
      <c r="H1458" t="s">
        <v>352</v>
      </c>
      <c r="J1458">
        <v>0</v>
      </c>
      <c r="L1458">
        <v>1</v>
      </c>
      <c r="M1458">
        <v>0</v>
      </c>
      <c r="N1458">
        <v>0</v>
      </c>
      <c r="O1458" t="s">
        <v>643</v>
      </c>
      <c r="U1458">
        <v>25</v>
      </c>
      <c r="V1458">
        <v>25</v>
      </c>
      <c r="W1458" t="s">
        <v>350</v>
      </c>
      <c r="X1458" t="s">
        <v>349</v>
      </c>
      <c r="Y1458" t="s">
        <v>642</v>
      </c>
      <c r="Z1458">
        <v>2017</v>
      </c>
      <c r="AB1458">
        <v>13</v>
      </c>
      <c r="AC1458">
        <v>3.09</v>
      </c>
      <c r="AE1458" t="s">
        <v>346</v>
      </c>
      <c r="AF1458">
        <v>46.142674</v>
      </c>
      <c r="AG1458">
        <v>-115.598088</v>
      </c>
      <c r="AH1458">
        <v>16273063</v>
      </c>
    </row>
    <row r="1459" spans="2:34">
      <c r="B1459" t="s">
        <v>345</v>
      </c>
      <c r="C1459" t="s">
        <v>1468</v>
      </c>
      <c r="D1459" s="3">
        <v>42926.284722222219</v>
      </c>
      <c r="F1459">
        <v>2017</v>
      </c>
      <c r="G1459" t="s">
        <v>743</v>
      </c>
      <c r="H1459" t="s">
        <v>352</v>
      </c>
      <c r="J1459">
        <v>0</v>
      </c>
      <c r="L1459">
        <v>2</v>
      </c>
      <c r="M1459">
        <v>0</v>
      </c>
      <c r="N1459">
        <v>0</v>
      </c>
      <c r="O1459" t="s">
        <v>643</v>
      </c>
      <c r="U1459">
        <v>25</v>
      </c>
      <c r="V1459">
        <v>25</v>
      </c>
      <c r="W1459" t="s">
        <v>350</v>
      </c>
      <c r="X1459" t="s">
        <v>349</v>
      </c>
      <c r="Y1459" t="s">
        <v>642</v>
      </c>
      <c r="Z1459">
        <v>2017</v>
      </c>
      <c r="AB1459">
        <v>13</v>
      </c>
      <c r="AC1459">
        <v>3.09</v>
      </c>
      <c r="AE1459" t="s">
        <v>346</v>
      </c>
      <c r="AF1459">
        <v>46.142674</v>
      </c>
      <c r="AG1459">
        <v>-115.598088</v>
      </c>
      <c r="AH1459">
        <v>16273064</v>
      </c>
    </row>
    <row r="1460" spans="2:34">
      <c r="B1460" t="s">
        <v>345</v>
      </c>
      <c r="C1460" t="s">
        <v>1468</v>
      </c>
      <c r="D1460" s="3">
        <v>42926.284722222219</v>
      </c>
      <c r="F1460">
        <v>2017</v>
      </c>
      <c r="G1460" t="s">
        <v>611</v>
      </c>
      <c r="H1460" t="s">
        <v>352</v>
      </c>
      <c r="J1460">
        <v>0</v>
      </c>
      <c r="L1460">
        <v>7</v>
      </c>
      <c r="M1460">
        <v>0</v>
      </c>
      <c r="N1460">
        <v>0</v>
      </c>
      <c r="O1460" t="s">
        <v>643</v>
      </c>
      <c r="U1460">
        <v>25</v>
      </c>
      <c r="V1460">
        <v>25</v>
      </c>
      <c r="W1460" t="s">
        <v>350</v>
      </c>
      <c r="X1460" t="s">
        <v>349</v>
      </c>
      <c r="Y1460" t="s">
        <v>642</v>
      </c>
      <c r="Z1460">
        <v>2017</v>
      </c>
      <c r="AB1460">
        <v>13</v>
      </c>
      <c r="AC1460">
        <v>3.09</v>
      </c>
      <c r="AE1460" t="s">
        <v>346</v>
      </c>
      <c r="AF1460">
        <v>46.142674</v>
      </c>
      <c r="AG1460">
        <v>-115.598088</v>
      </c>
      <c r="AH1460">
        <v>16273065</v>
      </c>
    </row>
    <row r="1461" spans="2:34">
      <c r="B1461" t="s">
        <v>345</v>
      </c>
      <c r="C1461" t="s">
        <v>1468</v>
      </c>
      <c r="D1461" s="3">
        <v>42926.284722222219</v>
      </c>
      <c r="F1461">
        <v>2017</v>
      </c>
      <c r="G1461" t="s">
        <v>743</v>
      </c>
      <c r="H1461" t="s">
        <v>352</v>
      </c>
      <c r="J1461">
        <v>0</v>
      </c>
      <c r="L1461">
        <v>1</v>
      </c>
      <c r="M1461">
        <v>0</v>
      </c>
      <c r="N1461">
        <v>0</v>
      </c>
      <c r="O1461" t="s">
        <v>643</v>
      </c>
      <c r="U1461">
        <v>25</v>
      </c>
      <c r="V1461">
        <v>25</v>
      </c>
      <c r="W1461" t="s">
        <v>350</v>
      </c>
      <c r="X1461" t="s">
        <v>349</v>
      </c>
      <c r="Y1461" t="s">
        <v>642</v>
      </c>
      <c r="Z1461">
        <v>2017</v>
      </c>
      <c r="AB1461">
        <v>13</v>
      </c>
      <c r="AC1461">
        <v>3.09</v>
      </c>
      <c r="AE1461" t="s">
        <v>346</v>
      </c>
      <c r="AF1461">
        <v>46.142674</v>
      </c>
      <c r="AG1461">
        <v>-115.598088</v>
      </c>
      <c r="AH1461">
        <v>16273066</v>
      </c>
    </row>
    <row r="1462" spans="2:34">
      <c r="B1462" t="s">
        <v>345</v>
      </c>
      <c r="C1462" t="s">
        <v>1469</v>
      </c>
      <c r="D1462" s="3">
        <v>42912.523611111108</v>
      </c>
      <c r="F1462">
        <v>2017</v>
      </c>
      <c r="G1462" t="s">
        <v>578</v>
      </c>
      <c r="H1462" t="s">
        <v>352</v>
      </c>
      <c r="J1462">
        <v>0</v>
      </c>
      <c r="L1462">
        <v>1</v>
      </c>
      <c r="M1462">
        <v>110</v>
      </c>
      <c r="N1462">
        <v>14</v>
      </c>
      <c r="O1462" t="s">
        <v>575</v>
      </c>
      <c r="Q1462" t="s">
        <v>1470</v>
      </c>
      <c r="R1462" t="s">
        <v>1471</v>
      </c>
      <c r="U1462">
        <v>17</v>
      </c>
      <c r="V1462">
        <v>17</v>
      </c>
      <c r="W1462" t="s">
        <v>350</v>
      </c>
      <c r="X1462" t="s">
        <v>349</v>
      </c>
      <c r="Y1462" t="s">
        <v>580</v>
      </c>
      <c r="Z1462">
        <v>2017</v>
      </c>
      <c r="AB1462">
        <v>11</v>
      </c>
      <c r="AC1462">
        <v>4.4400000000000004</v>
      </c>
      <c r="AE1462" t="s">
        <v>346</v>
      </c>
      <c r="AF1462">
        <v>46.142674</v>
      </c>
      <c r="AG1462">
        <v>-115.598088</v>
      </c>
      <c r="AH1462">
        <v>16278012</v>
      </c>
    </row>
    <row r="1463" spans="2:34">
      <c r="B1463" t="s">
        <v>345</v>
      </c>
      <c r="C1463" t="s">
        <v>1469</v>
      </c>
      <c r="D1463" s="3">
        <v>42912.523611111108</v>
      </c>
      <c r="F1463">
        <v>2017</v>
      </c>
      <c r="G1463" t="s">
        <v>615</v>
      </c>
      <c r="H1463" t="s">
        <v>352</v>
      </c>
      <c r="J1463">
        <v>0</v>
      </c>
      <c r="L1463">
        <v>1</v>
      </c>
      <c r="M1463">
        <v>135</v>
      </c>
      <c r="N1463">
        <v>27</v>
      </c>
      <c r="O1463" t="s">
        <v>353</v>
      </c>
      <c r="R1463" t="s">
        <v>1471</v>
      </c>
      <c r="U1463">
        <v>17</v>
      </c>
      <c r="V1463">
        <v>17</v>
      </c>
      <c r="W1463" t="s">
        <v>350</v>
      </c>
      <c r="X1463" t="s">
        <v>349</v>
      </c>
      <c r="Y1463" t="s">
        <v>580</v>
      </c>
      <c r="Z1463">
        <v>2017</v>
      </c>
      <c r="AB1463">
        <v>11</v>
      </c>
      <c r="AC1463">
        <v>4.4400000000000004</v>
      </c>
      <c r="AE1463" t="s">
        <v>346</v>
      </c>
      <c r="AF1463">
        <v>46.142674</v>
      </c>
      <c r="AG1463">
        <v>-115.598088</v>
      </c>
      <c r="AH1463">
        <v>16278013</v>
      </c>
    </row>
    <row r="1464" spans="2:34">
      <c r="B1464" t="s">
        <v>345</v>
      </c>
      <c r="C1464" t="s">
        <v>1439</v>
      </c>
      <c r="D1464" s="3">
        <v>42837.326388888891</v>
      </c>
      <c r="F1464">
        <v>2017</v>
      </c>
      <c r="G1464" t="s">
        <v>578</v>
      </c>
      <c r="H1464" t="s">
        <v>352</v>
      </c>
      <c r="J1464">
        <v>0</v>
      </c>
      <c r="L1464">
        <v>1</v>
      </c>
      <c r="M1464">
        <v>148</v>
      </c>
      <c r="N1464">
        <v>38</v>
      </c>
      <c r="O1464" t="s">
        <v>575</v>
      </c>
      <c r="Q1464" t="s">
        <v>1472</v>
      </c>
      <c r="U1464">
        <v>5</v>
      </c>
      <c r="V1464">
        <v>5</v>
      </c>
      <c r="W1464" t="s">
        <v>350</v>
      </c>
      <c r="X1464" t="s">
        <v>349</v>
      </c>
      <c r="Y1464" t="s">
        <v>580</v>
      </c>
      <c r="Z1464">
        <v>2017</v>
      </c>
      <c r="AB1464">
        <v>12</v>
      </c>
      <c r="AC1464">
        <v>5.26</v>
      </c>
      <c r="AE1464" t="s">
        <v>346</v>
      </c>
      <c r="AF1464">
        <v>46.142674</v>
      </c>
      <c r="AG1464">
        <v>-115.598088</v>
      </c>
      <c r="AH1464">
        <v>16196469</v>
      </c>
    </row>
    <row r="1465" spans="2:34">
      <c r="B1465" t="s">
        <v>345</v>
      </c>
      <c r="C1465" t="s">
        <v>1473</v>
      </c>
      <c r="D1465" s="3">
        <v>42899.368055555555</v>
      </c>
      <c r="F1465">
        <v>2017</v>
      </c>
      <c r="G1465" t="s">
        <v>351</v>
      </c>
      <c r="H1465" t="s">
        <v>352</v>
      </c>
      <c r="J1465">
        <v>0</v>
      </c>
      <c r="L1465">
        <v>1</v>
      </c>
      <c r="M1465">
        <v>117</v>
      </c>
      <c r="N1465">
        <v>3</v>
      </c>
      <c r="O1465" t="s">
        <v>353</v>
      </c>
      <c r="R1465" t="s">
        <v>1474</v>
      </c>
      <c r="U1465">
        <v>11</v>
      </c>
      <c r="V1465">
        <v>10</v>
      </c>
      <c r="W1465" t="s">
        <v>350</v>
      </c>
      <c r="X1465" t="s">
        <v>349</v>
      </c>
      <c r="Y1465" t="s">
        <v>580</v>
      </c>
      <c r="Z1465">
        <v>2017</v>
      </c>
      <c r="AB1465">
        <v>13</v>
      </c>
      <c r="AC1465">
        <v>6.12</v>
      </c>
      <c r="AE1465" t="s">
        <v>346</v>
      </c>
      <c r="AF1465">
        <v>46.142674</v>
      </c>
      <c r="AG1465">
        <v>-115.598088</v>
      </c>
      <c r="AH1465">
        <v>16252802</v>
      </c>
    </row>
    <row r="1466" spans="2:34">
      <c r="B1466" t="s">
        <v>345</v>
      </c>
      <c r="C1466" t="s">
        <v>1473</v>
      </c>
      <c r="D1466" s="3">
        <v>42899.368055555555</v>
      </c>
      <c r="F1466">
        <v>2017</v>
      </c>
      <c r="G1466" t="s">
        <v>574</v>
      </c>
      <c r="H1466" t="s">
        <v>352</v>
      </c>
      <c r="J1466">
        <v>0</v>
      </c>
      <c r="L1466">
        <v>1</v>
      </c>
      <c r="M1466">
        <v>55</v>
      </c>
      <c r="N1466">
        <v>2</v>
      </c>
      <c r="O1466" t="s">
        <v>609</v>
      </c>
      <c r="R1466" t="s">
        <v>1474</v>
      </c>
      <c r="U1466">
        <v>11</v>
      </c>
      <c r="V1466">
        <v>10</v>
      </c>
      <c r="W1466" t="s">
        <v>350</v>
      </c>
      <c r="X1466" t="s">
        <v>349</v>
      </c>
      <c r="Y1466" t="s">
        <v>580</v>
      </c>
      <c r="Z1466">
        <v>2017</v>
      </c>
      <c r="AB1466">
        <v>13</v>
      </c>
      <c r="AC1466">
        <v>6.12</v>
      </c>
      <c r="AE1466" t="s">
        <v>346</v>
      </c>
      <c r="AF1466">
        <v>46.142674</v>
      </c>
      <c r="AG1466">
        <v>-115.598088</v>
      </c>
      <c r="AH1466">
        <v>16252803</v>
      </c>
    </row>
    <row r="1467" spans="2:34">
      <c r="B1467" t="s">
        <v>345</v>
      </c>
      <c r="C1467" t="s">
        <v>1473</v>
      </c>
      <c r="D1467" s="3">
        <v>42899.368055555555</v>
      </c>
      <c r="F1467">
        <v>2017</v>
      </c>
      <c r="G1467" t="s">
        <v>351</v>
      </c>
      <c r="H1467" t="s">
        <v>352</v>
      </c>
      <c r="J1467">
        <v>0</v>
      </c>
      <c r="L1467">
        <v>1</v>
      </c>
      <c r="M1467">
        <v>127</v>
      </c>
      <c r="N1467">
        <v>3</v>
      </c>
      <c r="O1467" t="s">
        <v>353</v>
      </c>
      <c r="R1467" t="s">
        <v>1474</v>
      </c>
      <c r="U1467">
        <v>11</v>
      </c>
      <c r="V1467">
        <v>10</v>
      </c>
      <c r="W1467" t="s">
        <v>350</v>
      </c>
      <c r="X1467" t="s">
        <v>349</v>
      </c>
      <c r="Y1467" t="s">
        <v>580</v>
      </c>
      <c r="Z1467">
        <v>2017</v>
      </c>
      <c r="AB1467">
        <v>13</v>
      </c>
      <c r="AC1467">
        <v>6.12</v>
      </c>
      <c r="AE1467" t="s">
        <v>346</v>
      </c>
      <c r="AF1467">
        <v>46.142674</v>
      </c>
      <c r="AG1467">
        <v>-115.598088</v>
      </c>
      <c r="AH1467">
        <v>16252804</v>
      </c>
    </row>
    <row r="1468" spans="2:34">
      <c r="B1468" t="s">
        <v>345</v>
      </c>
      <c r="C1468" t="s">
        <v>1473</v>
      </c>
      <c r="D1468" s="3">
        <v>42899.368055555555</v>
      </c>
      <c r="F1468">
        <v>2017</v>
      </c>
      <c r="G1468" t="s">
        <v>611</v>
      </c>
      <c r="H1468" t="s">
        <v>352</v>
      </c>
      <c r="J1468">
        <v>0</v>
      </c>
      <c r="L1468">
        <v>1</v>
      </c>
      <c r="M1468">
        <v>104</v>
      </c>
      <c r="N1468">
        <v>16</v>
      </c>
      <c r="O1468" t="s">
        <v>353</v>
      </c>
      <c r="R1468" t="s">
        <v>1474</v>
      </c>
      <c r="U1468">
        <v>11</v>
      </c>
      <c r="V1468">
        <v>10</v>
      </c>
      <c r="W1468" t="s">
        <v>350</v>
      </c>
      <c r="X1468" t="s">
        <v>349</v>
      </c>
      <c r="Y1468" t="s">
        <v>580</v>
      </c>
      <c r="Z1468">
        <v>2017</v>
      </c>
      <c r="AB1468">
        <v>13</v>
      </c>
      <c r="AC1468">
        <v>6.12</v>
      </c>
      <c r="AE1468" t="s">
        <v>346</v>
      </c>
      <c r="AF1468">
        <v>46.142674</v>
      </c>
      <c r="AG1468">
        <v>-115.598088</v>
      </c>
      <c r="AH1468">
        <v>16252805</v>
      </c>
    </row>
    <row r="1469" spans="2:34">
      <c r="B1469" t="s">
        <v>345</v>
      </c>
      <c r="C1469" t="s">
        <v>1473</v>
      </c>
      <c r="D1469" s="3">
        <v>42899.368055555555</v>
      </c>
      <c r="F1469">
        <v>2017</v>
      </c>
      <c r="G1469" t="s">
        <v>351</v>
      </c>
      <c r="H1469" t="s">
        <v>352</v>
      </c>
      <c r="J1469">
        <v>0</v>
      </c>
      <c r="L1469">
        <v>1</v>
      </c>
      <c r="M1469">
        <v>118</v>
      </c>
      <c r="N1469">
        <v>2</v>
      </c>
      <c r="O1469" t="s">
        <v>353</v>
      </c>
      <c r="R1469" t="s">
        <v>1474</v>
      </c>
      <c r="U1469">
        <v>11</v>
      </c>
      <c r="V1469">
        <v>10</v>
      </c>
      <c r="W1469" t="s">
        <v>350</v>
      </c>
      <c r="X1469" t="s">
        <v>349</v>
      </c>
      <c r="Y1469" t="s">
        <v>580</v>
      </c>
      <c r="Z1469">
        <v>2017</v>
      </c>
      <c r="AB1469">
        <v>13</v>
      </c>
      <c r="AC1469">
        <v>6.12</v>
      </c>
      <c r="AE1469" t="s">
        <v>346</v>
      </c>
      <c r="AF1469">
        <v>46.142674</v>
      </c>
      <c r="AG1469">
        <v>-115.598088</v>
      </c>
      <c r="AH1469">
        <v>16252806</v>
      </c>
    </row>
    <row r="1470" spans="2:34">
      <c r="B1470" t="s">
        <v>345</v>
      </c>
      <c r="C1470" t="s">
        <v>1473</v>
      </c>
      <c r="D1470" s="3">
        <v>42899.368055555555</v>
      </c>
      <c r="F1470">
        <v>2017</v>
      </c>
      <c r="G1470" t="s">
        <v>482</v>
      </c>
      <c r="H1470" t="s">
        <v>352</v>
      </c>
      <c r="J1470">
        <v>0</v>
      </c>
      <c r="L1470">
        <v>1</v>
      </c>
      <c r="M1470">
        <v>95</v>
      </c>
      <c r="N1470">
        <v>8</v>
      </c>
      <c r="O1470" t="s">
        <v>353</v>
      </c>
      <c r="R1470" t="s">
        <v>1474</v>
      </c>
      <c r="U1470">
        <v>11</v>
      </c>
      <c r="V1470">
        <v>10</v>
      </c>
      <c r="W1470" t="s">
        <v>350</v>
      </c>
      <c r="X1470" t="s">
        <v>349</v>
      </c>
      <c r="Y1470" t="s">
        <v>580</v>
      </c>
      <c r="Z1470">
        <v>2017</v>
      </c>
      <c r="AB1470">
        <v>13</v>
      </c>
      <c r="AC1470">
        <v>6.12</v>
      </c>
      <c r="AE1470" t="s">
        <v>346</v>
      </c>
      <c r="AF1470">
        <v>46.142674</v>
      </c>
      <c r="AG1470">
        <v>-115.598088</v>
      </c>
      <c r="AH1470">
        <v>16252807</v>
      </c>
    </row>
    <row r="1471" spans="2:34">
      <c r="B1471" t="s">
        <v>345</v>
      </c>
      <c r="C1471" t="s">
        <v>1473</v>
      </c>
      <c r="D1471" s="3">
        <v>42899.368055555555</v>
      </c>
      <c r="F1471">
        <v>2017</v>
      </c>
      <c r="G1471" t="s">
        <v>482</v>
      </c>
      <c r="H1471" t="s">
        <v>352</v>
      </c>
      <c r="J1471">
        <v>0</v>
      </c>
      <c r="L1471">
        <v>1</v>
      </c>
      <c r="M1471">
        <v>106</v>
      </c>
      <c r="N1471">
        <v>12</v>
      </c>
      <c r="O1471" t="s">
        <v>353</v>
      </c>
      <c r="R1471" t="s">
        <v>1474</v>
      </c>
      <c r="U1471">
        <v>11</v>
      </c>
      <c r="V1471">
        <v>10</v>
      </c>
      <c r="W1471" t="s">
        <v>350</v>
      </c>
      <c r="X1471" t="s">
        <v>349</v>
      </c>
      <c r="Y1471" t="s">
        <v>580</v>
      </c>
      <c r="Z1471">
        <v>2017</v>
      </c>
      <c r="AB1471">
        <v>13</v>
      </c>
      <c r="AC1471">
        <v>6.12</v>
      </c>
      <c r="AE1471" t="s">
        <v>346</v>
      </c>
      <c r="AF1471">
        <v>46.142674</v>
      </c>
      <c r="AG1471">
        <v>-115.598088</v>
      </c>
      <c r="AH1471">
        <v>16252808</v>
      </c>
    </row>
    <row r="1472" spans="2:34">
      <c r="B1472" t="s">
        <v>345</v>
      </c>
      <c r="C1472" t="s">
        <v>1473</v>
      </c>
      <c r="D1472" s="3">
        <v>42899.368055555555</v>
      </c>
      <c r="F1472">
        <v>2017</v>
      </c>
      <c r="G1472" t="s">
        <v>578</v>
      </c>
      <c r="H1472" t="s">
        <v>352</v>
      </c>
      <c r="J1472">
        <v>0</v>
      </c>
      <c r="L1472">
        <v>1</v>
      </c>
      <c r="M1472">
        <v>92</v>
      </c>
      <c r="N1472">
        <v>10</v>
      </c>
      <c r="O1472" t="s">
        <v>575</v>
      </c>
      <c r="Q1472" t="s">
        <v>1475</v>
      </c>
      <c r="R1472" t="s">
        <v>1474</v>
      </c>
      <c r="U1472">
        <v>11</v>
      </c>
      <c r="V1472">
        <v>10</v>
      </c>
      <c r="W1472" t="s">
        <v>350</v>
      </c>
      <c r="X1472" t="s">
        <v>349</v>
      </c>
      <c r="Y1472" t="s">
        <v>580</v>
      </c>
      <c r="Z1472">
        <v>2017</v>
      </c>
      <c r="AB1472">
        <v>13</v>
      </c>
      <c r="AC1472">
        <v>6.12</v>
      </c>
      <c r="AE1472" t="s">
        <v>346</v>
      </c>
      <c r="AF1472">
        <v>46.142674</v>
      </c>
      <c r="AG1472">
        <v>-115.598088</v>
      </c>
      <c r="AH1472">
        <v>16252809</v>
      </c>
    </row>
    <row r="1473" spans="2:34">
      <c r="B1473" t="s">
        <v>345</v>
      </c>
      <c r="C1473" t="s">
        <v>1473</v>
      </c>
      <c r="D1473" s="3">
        <v>42899.368055555555</v>
      </c>
      <c r="F1473">
        <v>2017</v>
      </c>
      <c r="G1473" t="s">
        <v>743</v>
      </c>
      <c r="H1473" t="s">
        <v>352</v>
      </c>
      <c r="J1473">
        <v>0</v>
      </c>
      <c r="L1473">
        <v>1</v>
      </c>
      <c r="M1473">
        <v>75</v>
      </c>
      <c r="N1473">
        <v>7</v>
      </c>
      <c r="O1473" t="s">
        <v>353</v>
      </c>
      <c r="R1473" t="s">
        <v>1474</v>
      </c>
      <c r="U1473">
        <v>11</v>
      </c>
      <c r="V1473">
        <v>10</v>
      </c>
      <c r="W1473" t="s">
        <v>350</v>
      </c>
      <c r="X1473" t="s">
        <v>349</v>
      </c>
      <c r="Y1473" t="s">
        <v>580</v>
      </c>
      <c r="Z1473">
        <v>2017</v>
      </c>
      <c r="AB1473">
        <v>13</v>
      </c>
      <c r="AC1473">
        <v>6.12</v>
      </c>
      <c r="AE1473" t="s">
        <v>346</v>
      </c>
      <c r="AF1473">
        <v>46.142674</v>
      </c>
      <c r="AG1473">
        <v>-115.598088</v>
      </c>
      <c r="AH1473">
        <v>16252810</v>
      </c>
    </row>
    <row r="1474" spans="2:34">
      <c r="B1474" t="s">
        <v>345</v>
      </c>
      <c r="C1474" t="s">
        <v>1476</v>
      </c>
      <c r="D1474" s="3">
        <v>42977.689583333333</v>
      </c>
      <c r="F1474">
        <v>2017</v>
      </c>
      <c r="G1474" t="s">
        <v>578</v>
      </c>
      <c r="H1474" t="s">
        <v>352</v>
      </c>
      <c r="J1474">
        <v>0</v>
      </c>
      <c r="L1474">
        <v>1</v>
      </c>
      <c r="M1474">
        <v>0</v>
      </c>
      <c r="N1474">
        <v>0</v>
      </c>
      <c r="O1474" t="s">
        <v>773</v>
      </c>
      <c r="R1474" t="s">
        <v>603</v>
      </c>
      <c r="U1474">
        <v>25</v>
      </c>
      <c r="V1474">
        <v>25</v>
      </c>
      <c r="W1474" t="s">
        <v>350</v>
      </c>
      <c r="X1474" t="s">
        <v>349</v>
      </c>
      <c r="Y1474" t="s">
        <v>348</v>
      </c>
      <c r="Z1474">
        <v>2017</v>
      </c>
      <c r="AB1474">
        <v>4</v>
      </c>
      <c r="AC1474">
        <v>1.82</v>
      </c>
      <c r="AE1474" t="s">
        <v>346</v>
      </c>
      <c r="AF1474">
        <v>46.142674</v>
      </c>
      <c r="AG1474">
        <v>-115.598088</v>
      </c>
      <c r="AH1474">
        <v>16254143</v>
      </c>
    </row>
    <row r="1475" spans="2:34">
      <c r="B1475" t="s">
        <v>345</v>
      </c>
      <c r="C1475" t="s">
        <v>1476</v>
      </c>
      <c r="D1475" s="3">
        <v>42977.689583333333</v>
      </c>
      <c r="F1475">
        <v>2017</v>
      </c>
      <c r="G1475" t="s">
        <v>480</v>
      </c>
      <c r="H1475" t="s">
        <v>352</v>
      </c>
      <c r="J1475">
        <v>0</v>
      </c>
      <c r="L1475">
        <v>2</v>
      </c>
      <c r="M1475">
        <v>0</v>
      </c>
      <c r="N1475">
        <v>0</v>
      </c>
      <c r="O1475" t="s">
        <v>643</v>
      </c>
      <c r="R1475" t="s">
        <v>603</v>
      </c>
      <c r="U1475">
        <v>25</v>
      </c>
      <c r="V1475">
        <v>25</v>
      </c>
      <c r="W1475" t="s">
        <v>350</v>
      </c>
      <c r="X1475" t="s">
        <v>349</v>
      </c>
      <c r="Y1475" t="s">
        <v>348</v>
      </c>
      <c r="Z1475">
        <v>2017</v>
      </c>
      <c r="AB1475">
        <v>4</v>
      </c>
      <c r="AC1475">
        <v>1.82</v>
      </c>
      <c r="AE1475" t="s">
        <v>346</v>
      </c>
      <c r="AF1475">
        <v>46.142674</v>
      </c>
      <c r="AG1475">
        <v>-115.598088</v>
      </c>
      <c r="AH1475">
        <v>16254144</v>
      </c>
    </row>
    <row r="1476" spans="2:34">
      <c r="B1476" t="s">
        <v>345</v>
      </c>
      <c r="C1476" t="s">
        <v>1476</v>
      </c>
      <c r="D1476" s="3">
        <v>42977.689583333333</v>
      </c>
      <c r="F1476">
        <v>2017</v>
      </c>
      <c r="G1476" t="s">
        <v>605</v>
      </c>
      <c r="H1476" t="s">
        <v>352</v>
      </c>
      <c r="J1476">
        <v>0</v>
      </c>
      <c r="L1476">
        <v>25</v>
      </c>
      <c r="M1476">
        <v>0</v>
      </c>
      <c r="N1476">
        <v>0</v>
      </c>
      <c r="O1476" t="s">
        <v>606</v>
      </c>
      <c r="R1476" t="s">
        <v>603</v>
      </c>
      <c r="U1476">
        <v>25</v>
      </c>
      <c r="V1476">
        <v>25</v>
      </c>
      <c r="W1476" t="s">
        <v>350</v>
      </c>
      <c r="X1476" t="s">
        <v>349</v>
      </c>
      <c r="Y1476" t="s">
        <v>348</v>
      </c>
      <c r="Z1476">
        <v>2017</v>
      </c>
      <c r="AB1476">
        <v>4</v>
      </c>
      <c r="AC1476">
        <v>1.82</v>
      </c>
      <c r="AE1476" t="s">
        <v>346</v>
      </c>
      <c r="AF1476">
        <v>46.142674</v>
      </c>
      <c r="AG1476">
        <v>-115.598088</v>
      </c>
      <c r="AH1476">
        <v>16254145</v>
      </c>
    </row>
    <row r="1477" spans="2:34">
      <c r="B1477" t="s">
        <v>345</v>
      </c>
      <c r="C1477" t="s">
        <v>1476</v>
      </c>
      <c r="D1477" s="3">
        <v>42977.689583333333</v>
      </c>
      <c r="F1477">
        <v>2017</v>
      </c>
      <c r="G1477" t="s">
        <v>604</v>
      </c>
      <c r="H1477" t="s">
        <v>352</v>
      </c>
      <c r="J1477">
        <v>0</v>
      </c>
      <c r="L1477">
        <v>1</v>
      </c>
      <c r="M1477">
        <v>0</v>
      </c>
      <c r="N1477">
        <v>0</v>
      </c>
      <c r="O1477" t="s">
        <v>643</v>
      </c>
      <c r="R1477" t="s">
        <v>603</v>
      </c>
      <c r="U1477">
        <v>25</v>
      </c>
      <c r="V1477">
        <v>25</v>
      </c>
      <c r="W1477" t="s">
        <v>350</v>
      </c>
      <c r="X1477" t="s">
        <v>349</v>
      </c>
      <c r="Y1477" t="s">
        <v>348</v>
      </c>
      <c r="Z1477">
        <v>2017</v>
      </c>
      <c r="AB1477">
        <v>4</v>
      </c>
      <c r="AC1477">
        <v>1.82</v>
      </c>
      <c r="AE1477" t="s">
        <v>346</v>
      </c>
      <c r="AF1477">
        <v>46.142674</v>
      </c>
      <c r="AG1477">
        <v>-115.598088</v>
      </c>
      <c r="AH1477">
        <v>16254146</v>
      </c>
    </row>
    <row r="1478" spans="2:34">
      <c r="B1478" t="s">
        <v>345</v>
      </c>
      <c r="C1478" t="s">
        <v>1476</v>
      </c>
      <c r="D1478" s="3">
        <v>42977.689583333333</v>
      </c>
      <c r="F1478">
        <v>2017</v>
      </c>
      <c r="G1478" t="s">
        <v>602</v>
      </c>
      <c r="H1478" t="s">
        <v>352</v>
      </c>
      <c r="J1478">
        <v>0</v>
      </c>
      <c r="L1478">
        <v>1</v>
      </c>
      <c r="M1478">
        <v>0</v>
      </c>
      <c r="N1478">
        <v>0</v>
      </c>
      <c r="O1478" t="s">
        <v>643</v>
      </c>
      <c r="R1478" t="s">
        <v>603</v>
      </c>
      <c r="U1478">
        <v>25</v>
      </c>
      <c r="V1478">
        <v>25</v>
      </c>
      <c r="W1478" t="s">
        <v>350</v>
      </c>
      <c r="X1478" t="s">
        <v>349</v>
      </c>
      <c r="Y1478" t="s">
        <v>348</v>
      </c>
      <c r="Z1478">
        <v>2017</v>
      </c>
      <c r="AB1478">
        <v>4</v>
      </c>
      <c r="AC1478">
        <v>1.82</v>
      </c>
      <c r="AE1478" t="s">
        <v>346</v>
      </c>
      <c r="AF1478">
        <v>46.142674</v>
      </c>
      <c r="AG1478">
        <v>-115.598088</v>
      </c>
      <c r="AH1478">
        <v>16254147</v>
      </c>
    </row>
    <row r="1479" spans="2:34">
      <c r="B1479" t="s">
        <v>345</v>
      </c>
      <c r="C1479" t="s">
        <v>1477</v>
      </c>
      <c r="D1479" s="3">
        <v>42937.31527777778</v>
      </c>
      <c r="F1479">
        <v>2017</v>
      </c>
      <c r="G1479" t="s">
        <v>636</v>
      </c>
      <c r="H1479" t="s">
        <v>352</v>
      </c>
      <c r="J1479">
        <v>0</v>
      </c>
      <c r="L1479">
        <v>2</v>
      </c>
      <c r="O1479" t="s">
        <v>643</v>
      </c>
      <c r="U1479">
        <v>25</v>
      </c>
      <c r="V1479">
        <v>16</v>
      </c>
      <c r="W1479" t="s">
        <v>350</v>
      </c>
      <c r="X1479" t="s">
        <v>349</v>
      </c>
      <c r="Y1479" t="s">
        <v>813</v>
      </c>
      <c r="Z1479">
        <v>2017</v>
      </c>
      <c r="AB1479">
        <v>10</v>
      </c>
      <c r="AC1479">
        <v>1</v>
      </c>
      <c r="AE1479" t="s">
        <v>346</v>
      </c>
      <c r="AF1479">
        <v>46.142674</v>
      </c>
      <c r="AG1479">
        <v>-115.598088</v>
      </c>
      <c r="AH1479">
        <v>16256204</v>
      </c>
    </row>
    <row r="1480" spans="2:34">
      <c r="B1480" t="s">
        <v>345</v>
      </c>
      <c r="C1480" t="s">
        <v>1477</v>
      </c>
      <c r="D1480" s="3">
        <v>42937.31527777778</v>
      </c>
      <c r="F1480">
        <v>2017</v>
      </c>
      <c r="G1480" t="s">
        <v>605</v>
      </c>
      <c r="H1480" t="s">
        <v>352</v>
      </c>
      <c r="J1480">
        <v>0</v>
      </c>
      <c r="L1480">
        <v>3</v>
      </c>
      <c r="O1480" t="s">
        <v>643</v>
      </c>
      <c r="U1480">
        <v>25</v>
      </c>
      <c r="V1480">
        <v>16</v>
      </c>
      <c r="W1480" t="s">
        <v>350</v>
      </c>
      <c r="X1480" t="s">
        <v>349</v>
      </c>
      <c r="Y1480" t="s">
        <v>813</v>
      </c>
      <c r="Z1480">
        <v>2017</v>
      </c>
      <c r="AB1480">
        <v>10</v>
      </c>
      <c r="AC1480">
        <v>1</v>
      </c>
      <c r="AE1480" t="s">
        <v>346</v>
      </c>
      <c r="AF1480">
        <v>46.142674</v>
      </c>
      <c r="AG1480">
        <v>-115.598088</v>
      </c>
      <c r="AH1480">
        <v>16256205</v>
      </c>
    </row>
    <row r="1481" spans="2:34">
      <c r="B1481" t="s">
        <v>345</v>
      </c>
      <c r="C1481" t="s">
        <v>1450</v>
      </c>
      <c r="D1481" s="3">
        <v>42842.564583333333</v>
      </c>
      <c r="F1481">
        <v>2017</v>
      </c>
      <c r="G1481" t="s">
        <v>351</v>
      </c>
      <c r="H1481" t="s">
        <v>352</v>
      </c>
      <c r="J1481">
        <v>0</v>
      </c>
      <c r="L1481">
        <v>1</v>
      </c>
      <c r="M1481">
        <v>141</v>
      </c>
      <c r="N1481">
        <v>5</v>
      </c>
      <c r="O1481" t="s">
        <v>353</v>
      </c>
      <c r="R1481" t="s">
        <v>1452</v>
      </c>
      <c r="U1481">
        <v>6</v>
      </c>
      <c r="V1481">
        <v>7</v>
      </c>
      <c r="W1481" t="s">
        <v>350</v>
      </c>
      <c r="X1481" t="s">
        <v>349</v>
      </c>
      <c r="Y1481" t="s">
        <v>580</v>
      </c>
      <c r="Z1481">
        <v>2017</v>
      </c>
      <c r="AB1481">
        <v>12</v>
      </c>
      <c r="AC1481">
        <v>5.29</v>
      </c>
      <c r="AE1481" t="s">
        <v>346</v>
      </c>
      <c r="AF1481">
        <v>46.142674</v>
      </c>
      <c r="AG1481">
        <v>-115.598088</v>
      </c>
      <c r="AH1481">
        <v>16193334</v>
      </c>
    </row>
    <row r="1482" spans="2:34">
      <c r="B1482" t="s">
        <v>345</v>
      </c>
      <c r="C1482" t="s">
        <v>1450</v>
      </c>
      <c r="D1482" s="3">
        <v>42842.564583333333</v>
      </c>
      <c r="F1482">
        <v>2017</v>
      </c>
      <c r="G1482" t="s">
        <v>578</v>
      </c>
      <c r="H1482" t="s">
        <v>352</v>
      </c>
      <c r="J1482">
        <v>0</v>
      </c>
      <c r="L1482">
        <v>1</v>
      </c>
      <c r="M1482">
        <v>196</v>
      </c>
      <c r="N1482">
        <v>62</v>
      </c>
      <c r="O1482" t="s">
        <v>575</v>
      </c>
      <c r="Q1482" t="s">
        <v>1478</v>
      </c>
      <c r="R1482" t="s">
        <v>1452</v>
      </c>
      <c r="U1482">
        <v>6</v>
      </c>
      <c r="V1482">
        <v>7</v>
      </c>
      <c r="W1482" t="s">
        <v>350</v>
      </c>
      <c r="X1482" t="s">
        <v>349</v>
      </c>
      <c r="Y1482" t="s">
        <v>580</v>
      </c>
      <c r="Z1482">
        <v>2017</v>
      </c>
      <c r="AB1482">
        <v>12</v>
      </c>
      <c r="AC1482">
        <v>5.29</v>
      </c>
      <c r="AE1482" t="s">
        <v>346</v>
      </c>
      <c r="AF1482">
        <v>46.142674</v>
      </c>
      <c r="AG1482">
        <v>-115.598088</v>
      </c>
      <c r="AH1482">
        <v>16193335</v>
      </c>
    </row>
    <row r="1483" spans="2:34">
      <c r="B1483" t="s">
        <v>345</v>
      </c>
      <c r="C1483" t="s">
        <v>1450</v>
      </c>
      <c r="D1483" s="3">
        <v>42842.564583333333</v>
      </c>
      <c r="F1483">
        <v>2017</v>
      </c>
      <c r="G1483" t="s">
        <v>574</v>
      </c>
      <c r="H1483" t="s">
        <v>352</v>
      </c>
      <c r="J1483">
        <v>0</v>
      </c>
      <c r="L1483">
        <v>1</v>
      </c>
      <c r="M1483">
        <v>82</v>
      </c>
      <c r="N1483">
        <v>6</v>
      </c>
      <c r="O1483" t="s">
        <v>575</v>
      </c>
      <c r="Q1483" t="s">
        <v>576</v>
      </c>
      <c r="R1483" t="s">
        <v>1452</v>
      </c>
      <c r="U1483">
        <v>6</v>
      </c>
      <c r="V1483">
        <v>7</v>
      </c>
      <c r="W1483" t="s">
        <v>350</v>
      </c>
      <c r="X1483" t="s">
        <v>349</v>
      </c>
      <c r="Y1483" t="s">
        <v>580</v>
      </c>
      <c r="Z1483">
        <v>2017</v>
      </c>
      <c r="AB1483">
        <v>12</v>
      </c>
      <c r="AC1483">
        <v>5.29</v>
      </c>
      <c r="AE1483" t="s">
        <v>346</v>
      </c>
      <c r="AF1483">
        <v>46.142674</v>
      </c>
      <c r="AG1483">
        <v>-115.598088</v>
      </c>
      <c r="AH1483">
        <v>16193336</v>
      </c>
    </row>
    <row r="1484" spans="2:34">
      <c r="B1484" t="s">
        <v>345</v>
      </c>
      <c r="C1484" t="s">
        <v>1450</v>
      </c>
      <c r="D1484" s="3">
        <v>42842.564583333333</v>
      </c>
      <c r="F1484">
        <v>2017</v>
      </c>
      <c r="G1484" t="s">
        <v>578</v>
      </c>
      <c r="H1484" t="s">
        <v>352</v>
      </c>
      <c r="J1484">
        <v>0</v>
      </c>
      <c r="L1484">
        <v>1</v>
      </c>
      <c r="M1484">
        <v>155</v>
      </c>
      <c r="N1484">
        <v>36</v>
      </c>
      <c r="O1484" t="s">
        <v>575</v>
      </c>
      <c r="Q1484" t="s">
        <v>1479</v>
      </c>
      <c r="R1484" t="s">
        <v>1452</v>
      </c>
      <c r="U1484">
        <v>6</v>
      </c>
      <c r="V1484">
        <v>7</v>
      </c>
      <c r="W1484" t="s">
        <v>350</v>
      </c>
      <c r="X1484" t="s">
        <v>349</v>
      </c>
      <c r="Y1484" t="s">
        <v>580</v>
      </c>
      <c r="Z1484">
        <v>2017</v>
      </c>
      <c r="AB1484">
        <v>12</v>
      </c>
      <c r="AC1484">
        <v>5.29</v>
      </c>
      <c r="AE1484" t="s">
        <v>346</v>
      </c>
      <c r="AF1484">
        <v>46.142674</v>
      </c>
      <c r="AG1484">
        <v>-115.598088</v>
      </c>
      <c r="AH1484">
        <v>16193337</v>
      </c>
    </row>
    <row r="1485" spans="2:34">
      <c r="B1485" t="s">
        <v>345</v>
      </c>
      <c r="C1485" t="s">
        <v>1450</v>
      </c>
      <c r="D1485" s="3">
        <v>42842.564583333333</v>
      </c>
      <c r="F1485">
        <v>2017</v>
      </c>
      <c r="G1485" t="s">
        <v>1480</v>
      </c>
      <c r="H1485" t="s">
        <v>352</v>
      </c>
      <c r="J1485">
        <v>0</v>
      </c>
      <c r="L1485">
        <v>1</v>
      </c>
      <c r="M1485">
        <v>87</v>
      </c>
      <c r="N1485">
        <v>10</v>
      </c>
      <c r="O1485" t="s">
        <v>353</v>
      </c>
      <c r="R1485" t="s">
        <v>1452</v>
      </c>
      <c r="U1485">
        <v>6</v>
      </c>
      <c r="V1485">
        <v>7</v>
      </c>
      <c r="W1485" t="s">
        <v>350</v>
      </c>
      <c r="X1485" t="s">
        <v>349</v>
      </c>
      <c r="Y1485" t="s">
        <v>580</v>
      </c>
      <c r="Z1485">
        <v>2017</v>
      </c>
      <c r="AB1485">
        <v>12</v>
      </c>
      <c r="AC1485">
        <v>5.29</v>
      </c>
      <c r="AE1485" t="s">
        <v>346</v>
      </c>
      <c r="AF1485">
        <v>46.142674</v>
      </c>
      <c r="AG1485">
        <v>-115.598088</v>
      </c>
      <c r="AH1485">
        <v>16193338</v>
      </c>
    </row>
    <row r="1486" spans="2:34">
      <c r="B1486" t="s">
        <v>345</v>
      </c>
      <c r="C1486" t="s">
        <v>1450</v>
      </c>
      <c r="D1486" s="3">
        <v>42842.564583333333</v>
      </c>
      <c r="F1486">
        <v>2017</v>
      </c>
      <c r="G1486" t="s">
        <v>578</v>
      </c>
      <c r="H1486" t="s">
        <v>352</v>
      </c>
      <c r="J1486">
        <v>0</v>
      </c>
      <c r="L1486">
        <v>1</v>
      </c>
      <c r="M1486">
        <v>168</v>
      </c>
      <c r="N1486">
        <v>42</v>
      </c>
      <c r="O1486" t="s">
        <v>575</v>
      </c>
      <c r="Q1486" t="s">
        <v>1481</v>
      </c>
      <c r="R1486" t="s">
        <v>1452</v>
      </c>
      <c r="U1486">
        <v>6</v>
      </c>
      <c r="V1486">
        <v>7</v>
      </c>
      <c r="W1486" t="s">
        <v>350</v>
      </c>
      <c r="X1486" t="s">
        <v>349</v>
      </c>
      <c r="Y1486" t="s">
        <v>580</v>
      </c>
      <c r="Z1486">
        <v>2017</v>
      </c>
      <c r="AB1486">
        <v>12</v>
      </c>
      <c r="AC1486">
        <v>5.29</v>
      </c>
      <c r="AE1486" t="s">
        <v>346</v>
      </c>
      <c r="AF1486">
        <v>46.142674</v>
      </c>
      <c r="AG1486">
        <v>-115.598088</v>
      </c>
      <c r="AH1486">
        <v>16193339</v>
      </c>
    </row>
    <row r="1487" spans="2:34">
      <c r="B1487" t="s">
        <v>345</v>
      </c>
      <c r="C1487" t="s">
        <v>1450</v>
      </c>
      <c r="D1487" s="3">
        <v>42842.564583333333</v>
      </c>
      <c r="F1487">
        <v>2017</v>
      </c>
      <c r="G1487" t="s">
        <v>578</v>
      </c>
      <c r="H1487" t="s">
        <v>352</v>
      </c>
      <c r="J1487">
        <v>0</v>
      </c>
      <c r="L1487">
        <v>1</v>
      </c>
      <c r="M1487">
        <v>209</v>
      </c>
      <c r="N1487">
        <v>69</v>
      </c>
      <c r="O1487" t="s">
        <v>575</v>
      </c>
      <c r="Q1487" t="s">
        <v>1482</v>
      </c>
      <c r="R1487" t="s">
        <v>1452</v>
      </c>
      <c r="U1487">
        <v>6</v>
      </c>
      <c r="V1487">
        <v>7</v>
      </c>
      <c r="W1487" t="s">
        <v>350</v>
      </c>
      <c r="X1487" t="s">
        <v>349</v>
      </c>
      <c r="Y1487" t="s">
        <v>580</v>
      </c>
      <c r="Z1487">
        <v>2017</v>
      </c>
      <c r="AB1487">
        <v>12</v>
      </c>
      <c r="AC1487">
        <v>5.29</v>
      </c>
      <c r="AE1487" t="s">
        <v>346</v>
      </c>
      <c r="AF1487">
        <v>46.142674</v>
      </c>
      <c r="AG1487">
        <v>-115.598088</v>
      </c>
      <c r="AH1487">
        <v>16193340</v>
      </c>
    </row>
    <row r="1488" spans="2:34">
      <c r="B1488" t="s">
        <v>345</v>
      </c>
      <c r="C1488" t="s">
        <v>1450</v>
      </c>
      <c r="D1488" s="3">
        <v>42842.564583333333</v>
      </c>
      <c r="F1488">
        <v>2017</v>
      </c>
      <c r="G1488" t="s">
        <v>578</v>
      </c>
      <c r="H1488" t="s">
        <v>352</v>
      </c>
      <c r="J1488">
        <v>0</v>
      </c>
      <c r="L1488">
        <v>1</v>
      </c>
      <c r="M1488">
        <v>181</v>
      </c>
      <c r="N1488">
        <v>49</v>
      </c>
      <c r="O1488" t="s">
        <v>575</v>
      </c>
      <c r="Q1488" t="s">
        <v>1483</v>
      </c>
      <c r="R1488" t="s">
        <v>1452</v>
      </c>
      <c r="U1488">
        <v>6</v>
      </c>
      <c r="V1488">
        <v>7</v>
      </c>
      <c r="W1488" t="s">
        <v>350</v>
      </c>
      <c r="X1488" t="s">
        <v>349</v>
      </c>
      <c r="Y1488" t="s">
        <v>580</v>
      </c>
      <c r="Z1488">
        <v>2017</v>
      </c>
      <c r="AB1488">
        <v>12</v>
      </c>
      <c r="AC1488">
        <v>5.29</v>
      </c>
      <c r="AE1488" t="s">
        <v>346</v>
      </c>
      <c r="AF1488">
        <v>46.142674</v>
      </c>
      <c r="AG1488">
        <v>-115.598088</v>
      </c>
      <c r="AH1488">
        <v>16193341</v>
      </c>
    </row>
    <row r="1489" spans="2:35">
      <c r="B1489" t="s">
        <v>345</v>
      </c>
      <c r="C1489" t="s">
        <v>1450</v>
      </c>
      <c r="D1489" s="3">
        <v>42842.564583333333</v>
      </c>
      <c r="F1489">
        <v>2017</v>
      </c>
      <c r="G1489" t="s">
        <v>578</v>
      </c>
      <c r="H1489" t="s">
        <v>352</v>
      </c>
      <c r="J1489">
        <v>0</v>
      </c>
      <c r="L1489">
        <v>1</v>
      </c>
      <c r="M1489">
        <v>169</v>
      </c>
      <c r="N1489">
        <v>37</v>
      </c>
      <c r="O1489" t="s">
        <v>575</v>
      </c>
      <c r="Q1489" t="s">
        <v>1484</v>
      </c>
      <c r="R1489" t="s">
        <v>1452</v>
      </c>
      <c r="U1489">
        <v>6</v>
      </c>
      <c r="V1489">
        <v>7</v>
      </c>
      <c r="W1489" t="s">
        <v>350</v>
      </c>
      <c r="X1489" t="s">
        <v>349</v>
      </c>
      <c r="Y1489" t="s">
        <v>580</v>
      </c>
      <c r="Z1489">
        <v>2017</v>
      </c>
      <c r="AB1489">
        <v>12</v>
      </c>
      <c r="AC1489">
        <v>5.29</v>
      </c>
      <c r="AE1489" t="s">
        <v>346</v>
      </c>
      <c r="AF1489">
        <v>46.142674</v>
      </c>
      <c r="AG1489">
        <v>-115.598088</v>
      </c>
      <c r="AH1489">
        <v>16193342</v>
      </c>
    </row>
    <row r="1490" spans="2:35">
      <c r="B1490" t="s">
        <v>345</v>
      </c>
      <c r="C1490" t="s">
        <v>1450</v>
      </c>
      <c r="D1490" s="3">
        <v>42842.564583333333</v>
      </c>
      <c r="F1490">
        <v>2017</v>
      </c>
      <c r="G1490" t="s">
        <v>578</v>
      </c>
      <c r="H1490" t="s">
        <v>352</v>
      </c>
      <c r="J1490">
        <v>0</v>
      </c>
      <c r="L1490">
        <v>1</v>
      </c>
      <c r="M1490">
        <v>230</v>
      </c>
      <c r="N1490">
        <v>110</v>
      </c>
      <c r="O1490" t="s">
        <v>575</v>
      </c>
      <c r="Q1490" t="s">
        <v>1485</v>
      </c>
      <c r="R1490" t="s">
        <v>1452</v>
      </c>
      <c r="U1490">
        <v>6</v>
      </c>
      <c r="V1490">
        <v>7</v>
      </c>
      <c r="W1490" t="s">
        <v>350</v>
      </c>
      <c r="X1490" t="s">
        <v>349</v>
      </c>
      <c r="Y1490" t="s">
        <v>580</v>
      </c>
      <c r="Z1490">
        <v>2017</v>
      </c>
      <c r="AB1490">
        <v>12</v>
      </c>
      <c r="AC1490">
        <v>5.29</v>
      </c>
      <c r="AE1490" t="s">
        <v>346</v>
      </c>
      <c r="AF1490">
        <v>46.142674</v>
      </c>
      <c r="AG1490">
        <v>-115.598088</v>
      </c>
      <c r="AH1490">
        <v>16193343</v>
      </c>
    </row>
    <row r="1491" spans="2:35">
      <c r="B1491" t="s">
        <v>345</v>
      </c>
      <c r="C1491" t="s">
        <v>1486</v>
      </c>
      <c r="D1491" s="3">
        <v>42915.404861111114</v>
      </c>
      <c r="F1491">
        <v>2017</v>
      </c>
      <c r="G1491" t="s">
        <v>611</v>
      </c>
      <c r="H1491" t="s">
        <v>352</v>
      </c>
      <c r="J1491">
        <v>0</v>
      </c>
      <c r="L1491">
        <v>1</v>
      </c>
      <c r="M1491">
        <v>74</v>
      </c>
      <c r="N1491">
        <v>4</v>
      </c>
      <c r="O1491" t="s">
        <v>353</v>
      </c>
      <c r="R1491" t="s">
        <v>608</v>
      </c>
      <c r="U1491">
        <v>15.5</v>
      </c>
      <c r="V1491">
        <v>15</v>
      </c>
      <c r="W1491" t="s">
        <v>350</v>
      </c>
      <c r="X1491" t="s">
        <v>349</v>
      </c>
      <c r="Y1491" t="s">
        <v>348</v>
      </c>
      <c r="Z1491">
        <v>2017</v>
      </c>
      <c r="AB1491">
        <v>11</v>
      </c>
      <c r="AC1491">
        <v>4.1100000000000003</v>
      </c>
      <c r="AE1491" t="s">
        <v>346</v>
      </c>
      <c r="AF1491">
        <v>46.142674</v>
      </c>
      <c r="AG1491">
        <v>-115.598088</v>
      </c>
      <c r="AH1491">
        <v>16285634</v>
      </c>
    </row>
    <row r="1492" spans="2:35">
      <c r="B1492" t="s">
        <v>345</v>
      </c>
      <c r="C1492" t="s">
        <v>1486</v>
      </c>
      <c r="D1492" s="3">
        <v>42915.404861111114</v>
      </c>
      <c r="F1492">
        <v>2017</v>
      </c>
      <c r="G1492" t="s">
        <v>578</v>
      </c>
      <c r="H1492" t="s">
        <v>352</v>
      </c>
      <c r="J1492">
        <v>0</v>
      </c>
      <c r="L1492">
        <v>1</v>
      </c>
      <c r="M1492">
        <v>125</v>
      </c>
      <c r="N1492">
        <v>20</v>
      </c>
      <c r="O1492" t="s">
        <v>575</v>
      </c>
      <c r="Q1492" t="s">
        <v>1487</v>
      </c>
      <c r="R1492" t="s">
        <v>608</v>
      </c>
      <c r="U1492">
        <v>15.5</v>
      </c>
      <c r="V1492">
        <v>15</v>
      </c>
      <c r="W1492" t="s">
        <v>350</v>
      </c>
      <c r="X1492" t="s">
        <v>349</v>
      </c>
      <c r="Y1492" t="s">
        <v>348</v>
      </c>
      <c r="Z1492">
        <v>2017</v>
      </c>
      <c r="AB1492">
        <v>11</v>
      </c>
      <c r="AC1492">
        <v>4.1100000000000003</v>
      </c>
      <c r="AE1492" t="s">
        <v>346</v>
      </c>
      <c r="AF1492">
        <v>46.142674</v>
      </c>
      <c r="AG1492">
        <v>-115.598088</v>
      </c>
      <c r="AH1492">
        <v>16285635</v>
      </c>
      <c r="AI1492">
        <f>17-76555</f>
        <v>-76538</v>
      </c>
    </row>
    <row r="1493" spans="2:35">
      <c r="B1493" t="s">
        <v>345</v>
      </c>
      <c r="C1493" t="s">
        <v>1486</v>
      </c>
      <c r="D1493" s="3">
        <v>42915.404861111114</v>
      </c>
      <c r="F1493">
        <v>2017</v>
      </c>
      <c r="G1493" t="s">
        <v>611</v>
      </c>
      <c r="H1493" t="s">
        <v>352</v>
      </c>
      <c r="J1493">
        <v>0</v>
      </c>
      <c r="L1493">
        <v>1</v>
      </c>
      <c r="M1493">
        <v>94</v>
      </c>
      <c r="N1493">
        <v>9</v>
      </c>
      <c r="O1493" t="s">
        <v>353</v>
      </c>
      <c r="R1493" t="s">
        <v>608</v>
      </c>
      <c r="U1493">
        <v>15.5</v>
      </c>
      <c r="V1493">
        <v>15</v>
      </c>
      <c r="W1493" t="s">
        <v>350</v>
      </c>
      <c r="X1493" t="s">
        <v>349</v>
      </c>
      <c r="Y1493" t="s">
        <v>348</v>
      </c>
      <c r="Z1493">
        <v>2017</v>
      </c>
      <c r="AB1493">
        <v>11</v>
      </c>
      <c r="AC1493">
        <v>4.1100000000000003</v>
      </c>
      <c r="AE1493" t="s">
        <v>346</v>
      </c>
      <c r="AF1493">
        <v>46.142674</v>
      </c>
      <c r="AG1493">
        <v>-115.598088</v>
      </c>
      <c r="AH1493">
        <v>16285636</v>
      </c>
    </row>
    <row r="1494" spans="2:35">
      <c r="B1494" t="s">
        <v>345</v>
      </c>
      <c r="C1494" t="s">
        <v>1486</v>
      </c>
      <c r="D1494" s="3">
        <v>42915.404861111114</v>
      </c>
      <c r="F1494">
        <v>2017</v>
      </c>
      <c r="G1494" t="s">
        <v>611</v>
      </c>
      <c r="H1494" t="s">
        <v>352</v>
      </c>
      <c r="J1494">
        <v>0</v>
      </c>
      <c r="L1494">
        <v>1</v>
      </c>
      <c r="M1494">
        <v>80</v>
      </c>
      <c r="N1494">
        <v>6</v>
      </c>
      <c r="O1494" t="s">
        <v>353</v>
      </c>
      <c r="R1494" t="s">
        <v>608</v>
      </c>
      <c r="U1494">
        <v>15.5</v>
      </c>
      <c r="V1494">
        <v>15</v>
      </c>
      <c r="W1494" t="s">
        <v>350</v>
      </c>
      <c r="X1494" t="s">
        <v>349</v>
      </c>
      <c r="Y1494" t="s">
        <v>348</v>
      </c>
      <c r="Z1494">
        <v>2017</v>
      </c>
      <c r="AB1494">
        <v>11</v>
      </c>
      <c r="AC1494">
        <v>4.1100000000000003</v>
      </c>
      <c r="AE1494" t="s">
        <v>346</v>
      </c>
      <c r="AF1494">
        <v>46.142674</v>
      </c>
      <c r="AG1494">
        <v>-115.598088</v>
      </c>
      <c r="AH1494">
        <v>16285637</v>
      </c>
    </row>
    <row r="1495" spans="2:35">
      <c r="B1495" t="s">
        <v>345</v>
      </c>
      <c r="C1495" t="s">
        <v>1486</v>
      </c>
      <c r="D1495" s="3">
        <v>42915.404861111114</v>
      </c>
      <c r="F1495">
        <v>2017</v>
      </c>
      <c r="G1495" t="s">
        <v>574</v>
      </c>
      <c r="H1495" t="s">
        <v>352</v>
      </c>
      <c r="J1495">
        <v>0</v>
      </c>
      <c r="L1495">
        <v>1</v>
      </c>
      <c r="M1495">
        <v>66</v>
      </c>
      <c r="N1495">
        <v>3</v>
      </c>
      <c r="O1495" t="s">
        <v>575</v>
      </c>
      <c r="Q1495" t="s">
        <v>576</v>
      </c>
      <c r="R1495" t="s">
        <v>608</v>
      </c>
      <c r="U1495">
        <v>15.5</v>
      </c>
      <c r="V1495">
        <v>15</v>
      </c>
      <c r="W1495" t="s">
        <v>350</v>
      </c>
      <c r="X1495" t="s">
        <v>349</v>
      </c>
      <c r="Y1495" t="s">
        <v>348</v>
      </c>
      <c r="Z1495">
        <v>2017</v>
      </c>
      <c r="AB1495">
        <v>11</v>
      </c>
      <c r="AC1495">
        <v>4.1100000000000003</v>
      </c>
      <c r="AE1495" t="s">
        <v>346</v>
      </c>
      <c r="AF1495">
        <v>46.142674</v>
      </c>
      <c r="AG1495">
        <v>-115.598088</v>
      </c>
      <c r="AH1495">
        <v>16285638</v>
      </c>
    </row>
    <row r="1496" spans="2:35">
      <c r="B1496" t="s">
        <v>345</v>
      </c>
      <c r="C1496" t="s">
        <v>1486</v>
      </c>
      <c r="D1496" s="3">
        <v>42915.404861111114</v>
      </c>
      <c r="F1496">
        <v>2017</v>
      </c>
      <c r="G1496" t="s">
        <v>611</v>
      </c>
      <c r="H1496" t="s">
        <v>352</v>
      </c>
      <c r="J1496">
        <v>0</v>
      </c>
      <c r="L1496">
        <v>1</v>
      </c>
      <c r="M1496">
        <v>72</v>
      </c>
      <c r="N1496">
        <v>3</v>
      </c>
      <c r="O1496" t="s">
        <v>353</v>
      </c>
      <c r="R1496" t="s">
        <v>608</v>
      </c>
      <c r="U1496">
        <v>15.5</v>
      </c>
      <c r="V1496">
        <v>15</v>
      </c>
      <c r="W1496" t="s">
        <v>350</v>
      </c>
      <c r="X1496" t="s">
        <v>349</v>
      </c>
      <c r="Y1496" t="s">
        <v>348</v>
      </c>
      <c r="Z1496">
        <v>2017</v>
      </c>
      <c r="AB1496">
        <v>11</v>
      </c>
      <c r="AC1496">
        <v>4.1100000000000003</v>
      </c>
      <c r="AE1496" t="s">
        <v>346</v>
      </c>
      <c r="AF1496">
        <v>46.142674</v>
      </c>
      <c r="AG1496">
        <v>-115.598088</v>
      </c>
      <c r="AH1496">
        <v>16285639</v>
      </c>
    </row>
    <row r="1497" spans="2:35">
      <c r="B1497" t="s">
        <v>345</v>
      </c>
      <c r="C1497" t="s">
        <v>1469</v>
      </c>
      <c r="D1497" s="3">
        <v>42912.523611111108</v>
      </c>
      <c r="F1497">
        <v>2017</v>
      </c>
      <c r="G1497" t="s">
        <v>482</v>
      </c>
      <c r="H1497" t="s">
        <v>352</v>
      </c>
      <c r="J1497">
        <v>0</v>
      </c>
      <c r="L1497">
        <v>1</v>
      </c>
      <c r="M1497">
        <v>82</v>
      </c>
      <c r="N1497">
        <v>9</v>
      </c>
      <c r="O1497" t="s">
        <v>353</v>
      </c>
      <c r="R1497" t="s">
        <v>1471</v>
      </c>
      <c r="U1497">
        <v>17</v>
      </c>
      <c r="V1497">
        <v>17</v>
      </c>
      <c r="W1497" t="s">
        <v>350</v>
      </c>
      <c r="X1497" t="s">
        <v>349</v>
      </c>
      <c r="Y1497" t="s">
        <v>580</v>
      </c>
      <c r="Z1497">
        <v>2017</v>
      </c>
      <c r="AB1497">
        <v>11</v>
      </c>
      <c r="AC1497">
        <v>4.4400000000000004</v>
      </c>
      <c r="AE1497" t="s">
        <v>346</v>
      </c>
      <c r="AF1497">
        <v>46.142674</v>
      </c>
      <c r="AG1497">
        <v>-115.598088</v>
      </c>
      <c r="AH1497">
        <v>16278014</v>
      </c>
    </row>
    <row r="1498" spans="2:35">
      <c r="B1498" t="s">
        <v>345</v>
      </c>
      <c r="C1498" t="s">
        <v>1469</v>
      </c>
      <c r="D1498" s="3">
        <v>42912.523611111108</v>
      </c>
      <c r="F1498">
        <v>2017</v>
      </c>
      <c r="G1498" t="s">
        <v>615</v>
      </c>
      <c r="H1498" t="s">
        <v>352</v>
      </c>
      <c r="J1498">
        <v>0</v>
      </c>
      <c r="L1498">
        <v>1</v>
      </c>
      <c r="M1498">
        <v>150</v>
      </c>
      <c r="N1498">
        <v>34</v>
      </c>
      <c r="O1498" t="s">
        <v>353</v>
      </c>
      <c r="R1498" t="s">
        <v>1471</v>
      </c>
      <c r="U1498">
        <v>17</v>
      </c>
      <c r="V1498">
        <v>17</v>
      </c>
      <c r="W1498" t="s">
        <v>350</v>
      </c>
      <c r="X1498" t="s">
        <v>349</v>
      </c>
      <c r="Y1498" t="s">
        <v>580</v>
      </c>
      <c r="Z1498">
        <v>2017</v>
      </c>
      <c r="AB1498">
        <v>11</v>
      </c>
      <c r="AC1498">
        <v>4.4400000000000004</v>
      </c>
      <c r="AE1498" t="s">
        <v>346</v>
      </c>
      <c r="AF1498">
        <v>46.142674</v>
      </c>
      <c r="AG1498">
        <v>-115.598088</v>
      </c>
      <c r="AH1498">
        <v>16278015</v>
      </c>
    </row>
    <row r="1499" spans="2:35">
      <c r="B1499" t="s">
        <v>345</v>
      </c>
      <c r="C1499" t="s">
        <v>1469</v>
      </c>
      <c r="D1499" s="3">
        <v>42912.523611111108</v>
      </c>
      <c r="F1499">
        <v>2017</v>
      </c>
      <c r="G1499" t="s">
        <v>615</v>
      </c>
      <c r="H1499" t="s">
        <v>352</v>
      </c>
      <c r="J1499">
        <v>0</v>
      </c>
      <c r="L1499">
        <v>1</v>
      </c>
      <c r="M1499">
        <v>130</v>
      </c>
      <c r="N1499">
        <v>22</v>
      </c>
      <c r="O1499" t="s">
        <v>353</v>
      </c>
      <c r="R1499" t="s">
        <v>1471</v>
      </c>
      <c r="U1499">
        <v>17</v>
      </c>
      <c r="V1499">
        <v>17</v>
      </c>
      <c r="W1499" t="s">
        <v>350</v>
      </c>
      <c r="X1499" t="s">
        <v>349</v>
      </c>
      <c r="Y1499" t="s">
        <v>580</v>
      </c>
      <c r="Z1499">
        <v>2017</v>
      </c>
      <c r="AB1499">
        <v>11</v>
      </c>
      <c r="AC1499">
        <v>4.4400000000000004</v>
      </c>
      <c r="AE1499" t="s">
        <v>346</v>
      </c>
      <c r="AF1499">
        <v>46.142674</v>
      </c>
      <c r="AG1499">
        <v>-115.598088</v>
      </c>
      <c r="AH1499">
        <v>16278016</v>
      </c>
    </row>
    <row r="1500" spans="2:35">
      <c r="B1500" t="s">
        <v>345</v>
      </c>
      <c r="C1500" t="s">
        <v>1469</v>
      </c>
      <c r="D1500" s="3">
        <v>42912.523611111108</v>
      </c>
      <c r="F1500">
        <v>2017</v>
      </c>
      <c r="G1500" t="s">
        <v>611</v>
      </c>
      <c r="H1500" t="s">
        <v>352</v>
      </c>
      <c r="J1500">
        <v>0</v>
      </c>
      <c r="L1500">
        <v>1</v>
      </c>
      <c r="M1500">
        <v>90</v>
      </c>
      <c r="N1500">
        <v>11</v>
      </c>
      <c r="O1500" t="s">
        <v>353</v>
      </c>
      <c r="R1500" t="s">
        <v>1471</v>
      </c>
      <c r="U1500">
        <v>17</v>
      </c>
      <c r="V1500">
        <v>17</v>
      </c>
      <c r="W1500" t="s">
        <v>350</v>
      </c>
      <c r="X1500" t="s">
        <v>349</v>
      </c>
      <c r="Y1500" t="s">
        <v>580</v>
      </c>
      <c r="Z1500">
        <v>2017</v>
      </c>
      <c r="AB1500">
        <v>11</v>
      </c>
      <c r="AC1500">
        <v>4.4400000000000004</v>
      </c>
      <c r="AE1500" t="s">
        <v>346</v>
      </c>
      <c r="AF1500">
        <v>46.142674</v>
      </c>
      <c r="AG1500">
        <v>-115.598088</v>
      </c>
      <c r="AH1500">
        <v>16278017</v>
      </c>
    </row>
    <row r="1501" spans="2:35">
      <c r="B1501" t="s">
        <v>345</v>
      </c>
      <c r="C1501" t="s">
        <v>1469</v>
      </c>
      <c r="D1501" s="3">
        <v>42912.523611111108</v>
      </c>
      <c r="F1501">
        <v>2017</v>
      </c>
      <c r="G1501" t="s">
        <v>611</v>
      </c>
      <c r="H1501" t="s">
        <v>352</v>
      </c>
      <c r="J1501">
        <v>0</v>
      </c>
      <c r="L1501">
        <v>1</v>
      </c>
      <c r="M1501">
        <v>67</v>
      </c>
      <c r="N1501">
        <v>6</v>
      </c>
      <c r="O1501" t="s">
        <v>353</v>
      </c>
      <c r="R1501" t="s">
        <v>1471</v>
      </c>
      <c r="U1501">
        <v>17</v>
      </c>
      <c r="V1501">
        <v>17</v>
      </c>
      <c r="W1501" t="s">
        <v>350</v>
      </c>
      <c r="X1501" t="s">
        <v>349</v>
      </c>
      <c r="Y1501" t="s">
        <v>580</v>
      </c>
      <c r="Z1501">
        <v>2017</v>
      </c>
      <c r="AB1501">
        <v>11</v>
      </c>
      <c r="AC1501">
        <v>4.4400000000000004</v>
      </c>
      <c r="AE1501" t="s">
        <v>346</v>
      </c>
      <c r="AF1501">
        <v>46.142674</v>
      </c>
      <c r="AG1501">
        <v>-115.598088</v>
      </c>
      <c r="AH1501">
        <v>16278018</v>
      </c>
    </row>
    <row r="1502" spans="2:35">
      <c r="B1502" t="s">
        <v>345</v>
      </c>
      <c r="C1502" t="s">
        <v>1469</v>
      </c>
      <c r="D1502" s="3">
        <v>42912.523611111108</v>
      </c>
      <c r="F1502">
        <v>2017</v>
      </c>
      <c r="G1502" t="s">
        <v>611</v>
      </c>
      <c r="H1502" t="s">
        <v>352</v>
      </c>
      <c r="J1502">
        <v>0</v>
      </c>
      <c r="L1502">
        <v>1</v>
      </c>
      <c r="M1502">
        <v>70</v>
      </c>
      <c r="N1502">
        <v>6</v>
      </c>
      <c r="O1502" t="s">
        <v>353</v>
      </c>
      <c r="R1502" t="s">
        <v>1471</v>
      </c>
      <c r="U1502">
        <v>17</v>
      </c>
      <c r="V1502">
        <v>17</v>
      </c>
      <c r="W1502" t="s">
        <v>350</v>
      </c>
      <c r="X1502" t="s">
        <v>349</v>
      </c>
      <c r="Y1502" t="s">
        <v>580</v>
      </c>
      <c r="Z1502">
        <v>2017</v>
      </c>
      <c r="AB1502">
        <v>11</v>
      </c>
      <c r="AC1502">
        <v>4.4400000000000004</v>
      </c>
      <c r="AE1502" t="s">
        <v>346</v>
      </c>
      <c r="AF1502">
        <v>46.142674</v>
      </c>
      <c r="AG1502">
        <v>-115.598088</v>
      </c>
      <c r="AH1502">
        <v>16278019</v>
      </c>
    </row>
    <row r="1503" spans="2:35">
      <c r="B1503" t="s">
        <v>345</v>
      </c>
      <c r="C1503" t="s">
        <v>1469</v>
      </c>
      <c r="D1503" s="3">
        <v>42912.523611111108</v>
      </c>
      <c r="F1503">
        <v>2017</v>
      </c>
      <c r="G1503" t="s">
        <v>611</v>
      </c>
      <c r="H1503" t="s">
        <v>352</v>
      </c>
      <c r="J1503">
        <v>0</v>
      </c>
      <c r="L1503">
        <v>1</v>
      </c>
      <c r="M1503">
        <v>81</v>
      </c>
      <c r="N1503">
        <v>7</v>
      </c>
      <c r="O1503" t="s">
        <v>353</v>
      </c>
      <c r="R1503" t="s">
        <v>1471</v>
      </c>
      <c r="U1503">
        <v>17</v>
      </c>
      <c r="V1503">
        <v>17</v>
      </c>
      <c r="W1503" t="s">
        <v>350</v>
      </c>
      <c r="X1503" t="s">
        <v>349</v>
      </c>
      <c r="Y1503" t="s">
        <v>580</v>
      </c>
      <c r="Z1503">
        <v>2017</v>
      </c>
      <c r="AB1503">
        <v>11</v>
      </c>
      <c r="AC1503">
        <v>4.4400000000000004</v>
      </c>
      <c r="AE1503" t="s">
        <v>346</v>
      </c>
      <c r="AF1503">
        <v>46.142674</v>
      </c>
      <c r="AG1503">
        <v>-115.598088</v>
      </c>
      <c r="AH1503">
        <v>16278020</v>
      </c>
    </row>
    <row r="1504" spans="2:35">
      <c r="B1504" t="s">
        <v>345</v>
      </c>
      <c r="C1504" t="s">
        <v>1469</v>
      </c>
      <c r="D1504" s="3">
        <v>42912.523611111108</v>
      </c>
      <c r="F1504">
        <v>2017</v>
      </c>
      <c r="G1504" t="s">
        <v>611</v>
      </c>
      <c r="H1504" t="s">
        <v>352</v>
      </c>
      <c r="J1504">
        <v>0</v>
      </c>
      <c r="L1504">
        <v>1</v>
      </c>
      <c r="M1504">
        <v>74</v>
      </c>
      <c r="N1504">
        <v>5</v>
      </c>
      <c r="O1504" t="s">
        <v>353</v>
      </c>
      <c r="R1504" t="s">
        <v>1471</v>
      </c>
      <c r="U1504">
        <v>17</v>
      </c>
      <c r="V1504">
        <v>17</v>
      </c>
      <c r="W1504" t="s">
        <v>350</v>
      </c>
      <c r="X1504" t="s">
        <v>349</v>
      </c>
      <c r="Y1504" t="s">
        <v>580</v>
      </c>
      <c r="Z1504">
        <v>2017</v>
      </c>
      <c r="AB1504">
        <v>11</v>
      </c>
      <c r="AC1504">
        <v>4.4400000000000004</v>
      </c>
      <c r="AE1504" t="s">
        <v>346</v>
      </c>
      <c r="AF1504">
        <v>46.142674</v>
      </c>
      <c r="AG1504">
        <v>-115.598088</v>
      </c>
      <c r="AH1504">
        <v>16278021</v>
      </c>
    </row>
    <row r="1505" spans="2:34">
      <c r="B1505" t="s">
        <v>345</v>
      </c>
      <c r="C1505" t="s">
        <v>1469</v>
      </c>
      <c r="D1505" s="3">
        <v>42912.523611111108</v>
      </c>
      <c r="F1505">
        <v>2017</v>
      </c>
      <c r="G1505" t="s">
        <v>611</v>
      </c>
      <c r="H1505" t="s">
        <v>352</v>
      </c>
      <c r="J1505">
        <v>0</v>
      </c>
      <c r="L1505">
        <v>1</v>
      </c>
      <c r="M1505">
        <v>80</v>
      </c>
      <c r="N1505">
        <v>7</v>
      </c>
      <c r="O1505" t="s">
        <v>353</v>
      </c>
      <c r="R1505" t="s">
        <v>1471</v>
      </c>
      <c r="U1505">
        <v>17</v>
      </c>
      <c r="V1505">
        <v>17</v>
      </c>
      <c r="W1505" t="s">
        <v>350</v>
      </c>
      <c r="X1505" t="s">
        <v>349</v>
      </c>
      <c r="Y1505" t="s">
        <v>580</v>
      </c>
      <c r="Z1505">
        <v>2017</v>
      </c>
      <c r="AB1505">
        <v>11</v>
      </c>
      <c r="AC1505">
        <v>4.4400000000000004</v>
      </c>
      <c r="AE1505" t="s">
        <v>346</v>
      </c>
      <c r="AF1505">
        <v>46.142674</v>
      </c>
      <c r="AG1505">
        <v>-115.598088</v>
      </c>
      <c r="AH1505">
        <v>16278022</v>
      </c>
    </row>
    <row r="1506" spans="2:34">
      <c r="B1506" t="s">
        <v>345</v>
      </c>
      <c r="C1506" t="s">
        <v>1469</v>
      </c>
      <c r="D1506" s="3">
        <v>42912.523611111108</v>
      </c>
      <c r="F1506">
        <v>2017</v>
      </c>
      <c r="G1506" t="s">
        <v>611</v>
      </c>
      <c r="H1506" t="s">
        <v>352</v>
      </c>
      <c r="J1506">
        <v>0</v>
      </c>
      <c r="L1506">
        <v>1</v>
      </c>
      <c r="M1506">
        <v>89</v>
      </c>
      <c r="N1506">
        <v>13</v>
      </c>
      <c r="O1506" t="s">
        <v>353</v>
      </c>
      <c r="R1506" t="s">
        <v>1471</v>
      </c>
      <c r="U1506">
        <v>17</v>
      </c>
      <c r="V1506">
        <v>17</v>
      </c>
      <c r="W1506" t="s">
        <v>350</v>
      </c>
      <c r="X1506" t="s">
        <v>349</v>
      </c>
      <c r="Y1506" t="s">
        <v>580</v>
      </c>
      <c r="Z1506">
        <v>2017</v>
      </c>
      <c r="AB1506">
        <v>11</v>
      </c>
      <c r="AC1506">
        <v>4.4400000000000004</v>
      </c>
      <c r="AE1506" t="s">
        <v>346</v>
      </c>
      <c r="AF1506">
        <v>46.142674</v>
      </c>
      <c r="AG1506">
        <v>-115.598088</v>
      </c>
      <c r="AH1506">
        <v>16278023</v>
      </c>
    </row>
    <row r="1507" spans="2:34">
      <c r="B1507" t="s">
        <v>345</v>
      </c>
      <c r="C1507" t="s">
        <v>1469</v>
      </c>
      <c r="D1507" s="3">
        <v>42912.523611111108</v>
      </c>
      <c r="F1507">
        <v>2017</v>
      </c>
      <c r="G1507" t="s">
        <v>482</v>
      </c>
      <c r="H1507" t="s">
        <v>352</v>
      </c>
      <c r="J1507">
        <v>0</v>
      </c>
      <c r="L1507">
        <v>1</v>
      </c>
      <c r="M1507">
        <v>77</v>
      </c>
      <c r="N1507">
        <v>8</v>
      </c>
      <c r="O1507" t="s">
        <v>353</v>
      </c>
      <c r="R1507" t="s">
        <v>1471</v>
      </c>
      <c r="U1507">
        <v>17</v>
      </c>
      <c r="V1507">
        <v>17</v>
      </c>
      <c r="W1507" t="s">
        <v>350</v>
      </c>
      <c r="X1507" t="s">
        <v>349</v>
      </c>
      <c r="Y1507" t="s">
        <v>580</v>
      </c>
      <c r="Z1507">
        <v>2017</v>
      </c>
      <c r="AB1507">
        <v>11</v>
      </c>
      <c r="AC1507">
        <v>4.4400000000000004</v>
      </c>
      <c r="AE1507" t="s">
        <v>346</v>
      </c>
      <c r="AF1507">
        <v>46.142674</v>
      </c>
      <c r="AG1507">
        <v>-115.598088</v>
      </c>
      <c r="AH1507">
        <v>16278024</v>
      </c>
    </row>
    <row r="1508" spans="2:34">
      <c r="B1508" t="s">
        <v>345</v>
      </c>
      <c r="C1508" t="s">
        <v>1469</v>
      </c>
      <c r="D1508" s="3">
        <v>42912.523611111108</v>
      </c>
      <c r="F1508">
        <v>2017</v>
      </c>
      <c r="G1508" t="s">
        <v>611</v>
      </c>
      <c r="H1508" t="s">
        <v>352</v>
      </c>
      <c r="J1508">
        <v>0</v>
      </c>
      <c r="L1508">
        <v>1</v>
      </c>
      <c r="M1508">
        <v>85</v>
      </c>
      <c r="N1508">
        <v>8</v>
      </c>
      <c r="O1508" t="s">
        <v>353</v>
      </c>
      <c r="R1508" t="s">
        <v>1471</v>
      </c>
      <c r="U1508">
        <v>17</v>
      </c>
      <c r="V1508">
        <v>17</v>
      </c>
      <c r="W1508" t="s">
        <v>350</v>
      </c>
      <c r="X1508" t="s">
        <v>349</v>
      </c>
      <c r="Y1508" t="s">
        <v>580</v>
      </c>
      <c r="Z1508">
        <v>2017</v>
      </c>
      <c r="AB1508">
        <v>11</v>
      </c>
      <c r="AC1508">
        <v>4.4400000000000004</v>
      </c>
      <c r="AE1508" t="s">
        <v>346</v>
      </c>
      <c r="AF1508">
        <v>46.142674</v>
      </c>
      <c r="AG1508">
        <v>-115.598088</v>
      </c>
      <c r="AH1508">
        <v>16278025</v>
      </c>
    </row>
    <row r="1509" spans="2:34">
      <c r="B1509" t="s">
        <v>345</v>
      </c>
      <c r="C1509" t="s">
        <v>1488</v>
      </c>
      <c r="D1509" s="3">
        <v>42863.34652777778</v>
      </c>
      <c r="F1509">
        <v>2017</v>
      </c>
      <c r="G1509" t="s">
        <v>351</v>
      </c>
      <c r="H1509" t="s">
        <v>352</v>
      </c>
      <c r="J1509">
        <v>0</v>
      </c>
      <c r="L1509">
        <v>1</v>
      </c>
      <c r="M1509">
        <v>120</v>
      </c>
      <c r="N1509">
        <v>3</v>
      </c>
      <c r="O1509" t="s">
        <v>353</v>
      </c>
      <c r="R1509" t="s">
        <v>1489</v>
      </c>
      <c r="U1509">
        <v>25</v>
      </c>
      <c r="V1509">
        <v>25</v>
      </c>
      <c r="W1509" t="s">
        <v>350</v>
      </c>
      <c r="X1509" t="s">
        <v>349</v>
      </c>
      <c r="Y1509" t="s">
        <v>348</v>
      </c>
      <c r="Z1509">
        <v>2017</v>
      </c>
      <c r="AB1509">
        <v>11</v>
      </c>
      <c r="AC1509">
        <v>7.44</v>
      </c>
      <c r="AE1509" t="s">
        <v>346</v>
      </c>
      <c r="AF1509">
        <v>46.142674</v>
      </c>
      <c r="AG1509">
        <v>-115.598088</v>
      </c>
      <c r="AH1509">
        <v>16278923</v>
      </c>
    </row>
    <row r="1510" spans="2:34">
      <c r="B1510" t="s">
        <v>345</v>
      </c>
      <c r="C1510" t="s">
        <v>1490</v>
      </c>
      <c r="D1510" s="3">
        <v>42921.402083333334</v>
      </c>
      <c r="F1510">
        <v>2017</v>
      </c>
      <c r="G1510" t="s">
        <v>611</v>
      </c>
      <c r="H1510" t="s">
        <v>352</v>
      </c>
      <c r="J1510">
        <v>0</v>
      </c>
      <c r="L1510">
        <v>18</v>
      </c>
      <c r="M1510">
        <v>0</v>
      </c>
      <c r="N1510">
        <v>0</v>
      </c>
      <c r="O1510" t="s">
        <v>643</v>
      </c>
      <c r="R1510" t="s">
        <v>962</v>
      </c>
      <c r="U1510">
        <v>25</v>
      </c>
      <c r="V1510">
        <v>25</v>
      </c>
      <c r="W1510" t="s">
        <v>350</v>
      </c>
      <c r="X1510" t="s">
        <v>349</v>
      </c>
      <c r="Y1510" t="s">
        <v>348</v>
      </c>
      <c r="Z1510">
        <v>2017</v>
      </c>
      <c r="AB1510">
        <v>8</v>
      </c>
      <c r="AC1510">
        <v>3.49</v>
      </c>
      <c r="AE1510" t="s">
        <v>346</v>
      </c>
      <c r="AF1510">
        <v>46.142674</v>
      </c>
      <c r="AG1510">
        <v>-115.598088</v>
      </c>
      <c r="AH1510">
        <v>16325526</v>
      </c>
    </row>
    <row r="1511" spans="2:34">
      <c r="B1511" t="s">
        <v>345</v>
      </c>
      <c r="C1511" t="s">
        <v>1490</v>
      </c>
      <c r="D1511" s="3">
        <v>42921.402083333334</v>
      </c>
      <c r="F1511">
        <v>2017</v>
      </c>
      <c r="G1511" t="s">
        <v>480</v>
      </c>
      <c r="H1511" t="s">
        <v>352</v>
      </c>
      <c r="J1511">
        <v>0</v>
      </c>
      <c r="L1511">
        <v>1</v>
      </c>
      <c r="M1511">
        <v>0</v>
      </c>
      <c r="N1511">
        <v>0</v>
      </c>
      <c r="O1511" t="s">
        <v>643</v>
      </c>
      <c r="R1511" t="s">
        <v>962</v>
      </c>
      <c r="U1511">
        <v>25</v>
      </c>
      <c r="V1511">
        <v>25</v>
      </c>
      <c r="W1511" t="s">
        <v>350</v>
      </c>
      <c r="X1511" t="s">
        <v>349</v>
      </c>
      <c r="Y1511" t="s">
        <v>348</v>
      </c>
      <c r="Z1511">
        <v>2017</v>
      </c>
      <c r="AB1511">
        <v>8</v>
      </c>
      <c r="AC1511">
        <v>3.49</v>
      </c>
      <c r="AE1511" t="s">
        <v>346</v>
      </c>
      <c r="AF1511">
        <v>46.142674</v>
      </c>
      <c r="AG1511">
        <v>-115.598088</v>
      </c>
      <c r="AH1511">
        <v>16325527</v>
      </c>
    </row>
    <row r="1512" spans="2:34">
      <c r="B1512" t="s">
        <v>345</v>
      </c>
      <c r="C1512" t="s">
        <v>1490</v>
      </c>
      <c r="D1512" s="3">
        <v>42921.402083333334</v>
      </c>
      <c r="F1512">
        <v>2017</v>
      </c>
      <c r="G1512" t="s">
        <v>602</v>
      </c>
      <c r="H1512" t="s">
        <v>352</v>
      </c>
      <c r="J1512">
        <v>0</v>
      </c>
      <c r="L1512">
        <v>3</v>
      </c>
      <c r="M1512">
        <v>0</v>
      </c>
      <c r="N1512">
        <v>0</v>
      </c>
      <c r="O1512" t="s">
        <v>643</v>
      </c>
      <c r="R1512" t="s">
        <v>962</v>
      </c>
      <c r="U1512">
        <v>25</v>
      </c>
      <c r="V1512">
        <v>25</v>
      </c>
      <c r="W1512" t="s">
        <v>350</v>
      </c>
      <c r="X1512" t="s">
        <v>349</v>
      </c>
      <c r="Y1512" t="s">
        <v>348</v>
      </c>
      <c r="Z1512">
        <v>2017</v>
      </c>
      <c r="AB1512">
        <v>8</v>
      </c>
      <c r="AC1512">
        <v>3.49</v>
      </c>
      <c r="AE1512" t="s">
        <v>346</v>
      </c>
      <c r="AF1512">
        <v>46.142674</v>
      </c>
      <c r="AG1512">
        <v>-115.598088</v>
      </c>
      <c r="AH1512">
        <v>16325528</v>
      </c>
    </row>
    <row r="1513" spans="2:34">
      <c r="B1513" t="s">
        <v>345</v>
      </c>
      <c r="C1513" t="s">
        <v>1490</v>
      </c>
      <c r="D1513" s="3">
        <v>42921.402083333334</v>
      </c>
      <c r="F1513">
        <v>2017</v>
      </c>
      <c r="G1513" t="s">
        <v>743</v>
      </c>
      <c r="H1513" t="s">
        <v>352</v>
      </c>
      <c r="J1513">
        <v>0</v>
      </c>
      <c r="L1513">
        <v>1</v>
      </c>
      <c r="M1513">
        <v>0</v>
      </c>
      <c r="N1513">
        <v>0</v>
      </c>
      <c r="O1513" t="s">
        <v>643</v>
      </c>
      <c r="R1513" t="s">
        <v>962</v>
      </c>
      <c r="U1513">
        <v>25</v>
      </c>
      <c r="V1513">
        <v>25</v>
      </c>
      <c r="W1513" t="s">
        <v>350</v>
      </c>
      <c r="X1513" t="s">
        <v>349</v>
      </c>
      <c r="Y1513" t="s">
        <v>348</v>
      </c>
      <c r="Z1513">
        <v>2017</v>
      </c>
      <c r="AB1513">
        <v>8</v>
      </c>
      <c r="AC1513">
        <v>3.49</v>
      </c>
      <c r="AE1513" t="s">
        <v>346</v>
      </c>
      <c r="AF1513">
        <v>46.142674</v>
      </c>
      <c r="AG1513">
        <v>-115.598088</v>
      </c>
      <c r="AH1513">
        <v>16325529</v>
      </c>
    </row>
    <row r="1514" spans="2:34">
      <c r="B1514" t="s">
        <v>345</v>
      </c>
      <c r="C1514" t="s">
        <v>1486</v>
      </c>
      <c r="D1514" s="3">
        <v>42915.404861111114</v>
      </c>
      <c r="F1514">
        <v>2017</v>
      </c>
      <c r="G1514" t="s">
        <v>611</v>
      </c>
      <c r="H1514" t="s">
        <v>352</v>
      </c>
      <c r="J1514">
        <v>0</v>
      </c>
      <c r="L1514">
        <v>1</v>
      </c>
      <c r="M1514">
        <v>81</v>
      </c>
      <c r="N1514">
        <v>7</v>
      </c>
      <c r="O1514" t="s">
        <v>353</v>
      </c>
      <c r="R1514" t="s">
        <v>608</v>
      </c>
      <c r="U1514">
        <v>15.5</v>
      </c>
      <c r="V1514">
        <v>15</v>
      </c>
      <c r="W1514" t="s">
        <v>350</v>
      </c>
      <c r="X1514" t="s">
        <v>349</v>
      </c>
      <c r="Y1514" t="s">
        <v>348</v>
      </c>
      <c r="Z1514">
        <v>2017</v>
      </c>
      <c r="AB1514">
        <v>11</v>
      </c>
      <c r="AC1514">
        <v>4.1100000000000003</v>
      </c>
      <c r="AE1514" t="s">
        <v>346</v>
      </c>
      <c r="AF1514">
        <v>46.142674</v>
      </c>
      <c r="AG1514">
        <v>-115.598088</v>
      </c>
      <c r="AH1514">
        <v>16285640</v>
      </c>
    </row>
    <row r="1515" spans="2:34">
      <c r="B1515" t="s">
        <v>345</v>
      </c>
      <c r="C1515" t="s">
        <v>1486</v>
      </c>
      <c r="D1515" s="3">
        <v>42915.404861111114</v>
      </c>
      <c r="F1515">
        <v>2017</v>
      </c>
      <c r="G1515" t="s">
        <v>743</v>
      </c>
      <c r="H1515" t="s">
        <v>352</v>
      </c>
      <c r="J1515">
        <v>0</v>
      </c>
      <c r="L1515">
        <v>1</v>
      </c>
      <c r="M1515">
        <v>74</v>
      </c>
      <c r="N1515">
        <v>6</v>
      </c>
      <c r="O1515" t="s">
        <v>353</v>
      </c>
      <c r="R1515" t="s">
        <v>608</v>
      </c>
      <c r="U1515">
        <v>15.5</v>
      </c>
      <c r="V1515">
        <v>15</v>
      </c>
      <c r="W1515" t="s">
        <v>350</v>
      </c>
      <c r="X1515" t="s">
        <v>349</v>
      </c>
      <c r="Y1515" t="s">
        <v>348</v>
      </c>
      <c r="Z1515">
        <v>2017</v>
      </c>
      <c r="AB1515">
        <v>11</v>
      </c>
      <c r="AC1515">
        <v>4.1100000000000003</v>
      </c>
      <c r="AE1515" t="s">
        <v>346</v>
      </c>
      <c r="AF1515">
        <v>46.142674</v>
      </c>
      <c r="AG1515">
        <v>-115.598088</v>
      </c>
      <c r="AH1515">
        <v>16285641</v>
      </c>
    </row>
    <row r="1516" spans="2:34">
      <c r="B1516" t="s">
        <v>345</v>
      </c>
      <c r="C1516" t="s">
        <v>1486</v>
      </c>
      <c r="D1516" s="3">
        <v>42915.404861111114</v>
      </c>
      <c r="F1516">
        <v>2017</v>
      </c>
      <c r="G1516" t="s">
        <v>605</v>
      </c>
      <c r="H1516" t="s">
        <v>352</v>
      </c>
      <c r="J1516">
        <v>0</v>
      </c>
      <c r="L1516">
        <v>1</v>
      </c>
      <c r="M1516">
        <v>72</v>
      </c>
      <c r="N1516">
        <v>4</v>
      </c>
      <c r="O1516" t="s">
        <v>353</v>
      </c>
      <c r="R1516" t="s">
        <v>608</v>
      </c>
      <c r="U1516">
        <v>15.5</v>
      </c>
      <c r="V1516">
        <v>15</v>
      </c>
      <c r="W1516" t="s">
        <v>350</v>
      </c>
      <c r="X1516" t="s">
        <v>349</v>
      </c>
      <c r="Y1516" t="s">
        <v>348</v>
      </c>
      <c r="Z1516">
        <v>2017</v>
      </c>
      <c r="AB1516">
        <v>11</v>
      </c>
      <c r="AC1516">
        <v>4.1100000000000003</v>
      </c>
      <c r="AE1516" t="s">
        <v>346</v>
      </c>
      <c r="AF1516">
        <v>46.142674</v>
      </c>
      <c r="AG1516">
        <v>-115.598088</v>
      </c>
      <c r="AH1516">
        <v>16285642</v>
      </c>
    </row>
    <row r="1517" spans="2:34">
      <c r="B1517" t="s">
        <v>345</v>
      </c>
      <c r="C1517" t="s">
        <v>1486</v>
      </c>
      <c r="D1517" s="3">
        <v>42915.404861111114</v>
      </c>
      <c r="F1517">
        <v>2017</v>
      </c>
      <c r="G1517" t="s">
        <v>743</v>
      </c>
      <c r="H1517" t="s">
        <v>352</v>
      </c>
      <c r="J1517">
        <v>0</v>
      </c>
      <c r="L1517">
        <v>1</v>
      </c>
      <c r="M1517">
        <v>77</v>
      </c>
      <c r="N1517">
        <v>6</v>
      </c>
      <c r="O1517" t="s">
        <v>353</v>
      </c>
      <c r="R1517" t="s">
        <v>608</v>
      </c>
      <c r="U1517">
        <v>15.5</v>
      </c>
      <c r="V1517">
        <v>15</v>
      </c>
      <c r="W1517" t="s">
        <v>350</v>
      </c>
      <c r="X1517" t="s">
        <v>349</v>
      </c>
      <c r="Y1517" t="s">
        <v>348</v>
      </c>
      <c r="Z1517">
        <v>2017</v>
      </c>
      <c r="AB1517">
        <v>11</v>
      </c>
      <c r="AC1517">
        <v>4.1100000000000003</v>
      </c>
      <c r="AE1517" t="s">
        <v>346</v>
      </c>
      <c r="AF1517">
        <v>46.142674</v>
      </c>
      <c r="AG1517">
        <v>-115.598088</v>
      </c>
      <c r="AH1517">
        <v>16285643</v>
      </c>
    </row>
    <row r="1518" spans="2:34">
      <c r="B1518" t="s">
        <v>345</v>
      </c>
      <c r="C1518" t="s">
        <v>1486</v>
      </c>
      <c r="D1518" s="3">
        <v>42915.404861111114</v>
      </c>
      <c r="F1518">
        <v>2017</v>
      </c>
      <c r="G1518" t="s">
        <v>743</v>
      </c>
      <c r="H1518" t="s">
        <v>352</v>
      </c>
      <c r="J1518">
        <v>0</v>
      </c>
      <c r="L1518">
        <v>1</v>
      </c>
      <c r="M1518">
        <v>85</v>
      </c>
      <c r="N1518">
        <v>11</v>
      </c>
      <c r="O1518" t="s">
        <v>353</v>
      </c>
      <c r="R1518" t="s">
        <v>608</v>
      </c>
      <c r="U1518">
        <v>15.5</v>
      </c>
      <c r="V1518">
        <v>15</v>
      </c>
      <c r="W1518" t="s">
        <v>350</v>
      </c>
      <c r="X1518" t="s">
        <v>349</v>
      </c>
      <c r="Y1518" t="s">
        <v>348</v>
      </c>
      <c r="Z1518">
        <v>2017</v>
      </c>
      <c r="AB1518">
        <v>11</v>
      </c>
      <c r="AC1518">
        <v>4.1100000000000003</v>
      </c>
      <c r="AE1518" t="s">
        <v>346</v>
      </c>
      <c r="AF1518">
        <v>46.142674</v>
      </c>
      <c r="AG1518">
        <v>-115.598088</v>
      </c>
      <c r="AH1518">
        <v>16285644</v>
      </c>
    </row>
    <row r="1519" spans="2:34">
      <c r="B1519" t="s">
        <v>345</v>
      </c>
      <c r="C1519" t="s">
        <v>1486</v>
      </c>
      <c r="D1519" s="3">
        <v>42915.404861111114</v>
      </c>
      <c r="F1519">
        <v>2017</v>
      </c>
      <c r="G1519" t="s">
        <v>574</v>
      </c>
      <c r="H1519" t="s">
        <v>352</v>
      </c>
      <c r="J1519">
        <v>0</v>
      </c>
      <c r="L1519">
        <v>1</v>
      </c>
      <c r="M1519">
        <v>81</v>
      </c>
      <c r="N1519">
        <v>6</v>
      </c>
      <c r="O1519" t="s">
        <v>575</v>
      </c>
      <c r="Q1519" t="s">
        <v>576</v>
      </c>
      <c r="R1519" t="s">
        <v>608</v>
      </c>
      <c r="U1519">
        <v>15.5</v>
      </c>
      <c r="V1519">
        <v>15</v>
      </c>
      <c r="W1519" t="s">
        <v>350</v>
      </c>
      <c r="X1519" t="s">
        <v>349</v>
      </c>
      <c r="Y1519" t="s">
        <v>348</v>
      </c>
      <c r="Z1519">
        <v>2017</v>
      </c>
      <c r="AB1519">
        <v>11</v>
      </c>
      <c r="AC1519">
        <v>4.1100000000000003</v>
      </c>
      <c r="AE1519" t="s">
        <v>346</v>
      </c>
      <c r="AF1519">
        <v>46.142674</v>
      </c>
      <c r="AG1519">
        <v>-115.598088</v>
      </c>
      <c r="AH1519">
        <v>16285645</v>
      </c>
    </row>
    <row r="1520" spans="2:34">
      <c r="B1520" t="s">
        <v>345</v>
      </c>
      <c r="C1520" t="s">
        <v>1486</v>
      </c>
      <c r="D1520" s="3">
        <v>42915.404861111114</v>
      </c>
      <c r="F1520">
        <v>2017</v>
      </c>
      <c r="G1520" t="s">
        <v>611</v>
      </c>
      <c r="H1520" t="s">
        <v>352</v>
      </c>
      <c r="J1520">
        <v>0</v>
      </c>
      <c r="L1520">
        <v>1</v>
      </c>
      <c r="M1520">
        <v>87</v>
      </c>
      <c r="N1520">
        <v>9</v>
      </c>
      <c r="O1520" t="s">
        <v>353</v>
      </c>
      <c r="R1520" t="s">
        <v>608</v>
      </c>
      <c r="U1520">
        <v>15.5</v>
      </c>
      <c r="V1520">
        <v>15</v>
      </c>
      <c r="W1520" t="s">
        <v>350</v>
      </c>
      <c r="X1520" t="s">
        <v>349</v>
      </c>
      <c r="Y1520" t="s">
        <v>348</v>
      </c>
      <c r="Z1520">
        <v>2017</v>
      </c>
      <c r="AB1520">
        <v>11</v>
      </c>
      <c r="AC1520">
        <v>4.1100000000000003</v>
      </c>
      <c r="AE1520" t="s">
        <v>346</v>
      </c>
      <c r="AF1520">
        <v>46.142674</v>
      </c>
      <c r="AG1520">
        <v>-115.598088</v>
      </c>
      <c r="AH1520">
        <v>16285646</v>
      </c>
    </row>
    <row r="1521" spans="2:34">
      <c r="B1521" t="s">
        <v>345</v>
      </c>
      <c r="C1521" t="s">
        <v>1491</v>
      </c>
      <c r="D1521" s="3">
        <v>42900.34097222222</v>
      </c>
      <c r="F1521">
        <v>2017</v>
      </c>
      <c r="G1521" t="s">
        <v>578</v>
      </c>
      <c r="H1521" t="s">
        <v>352</v>
      </c>
      <c r="J1521">
        <v>0</v>
      </c>
      <c r="L1521">
        <v>1</v>
      </c>
      <c r="M1521">
        <v>97</v>
      </c>
      <c r="N1521">
        <v>11</v>
      </c>
      <c r="O1521" t="s">
        <v>575</v>
      </c>
      <c r="Q1521" t="s">
        <v>1492</v>
      </c>
      <c r="R1521" t="s">
        <v>1493</v>
      </c>
      <c r="U1521">
        <v>10</v>
      </c>
      <c r="V1521">
        <v>8</v>
      </c>
      <c r="W1521" t="s">
        <v>350</v>
      </c>
      <c r="X1521" t="s">
        <v>349</v>
      </c>
      <c r="Y1521" t="s">
        <v>580</v>
      </c>
      <c r="Z1521">
        <v>2017</v>
      </c>
      <c r="AB1521">
        <v>14</v>
      </c>
      <c r="AC1521">
        <v>6.19</v>
      </c>
      <c r="AE1521" t="s">
        <v>346</v>
      </c>
      <c r="AF1521">
        <v>46.142674</v>
      </c>
      <c r="AG1521">
        <v>-115.598088</v>
      </c>
      <c r="AH1521">
        <v>16337888</v>
      </c>
    </row>
    <row r="1522" spans="2:34">
      <c r="B1522" t="s">
        <v>345</v>
      </c>
      <c r="C1522" t="s">
        <v>1491</v>
      </c>
      <c r="D1522" s="3">
        <v>42900.34097222222</v>
      </c>
      <c r="F1522">
        <v>2017</v>
      </c>
      <c r="G1522" t="s">
        <v>574</v>
      </c>
      <c r="H1522" t="s">
        <v>352</v>
      </c>
      <c r="J1522">
        <v>0</v>
      </c>
      <c r="L1522">
        <v>1</v>
      </c>
      <c r="M1522">
        <v>50</v>
      </c>
      <c r="N1522">
        <v>2</v>
      </c>
      <c r="O1522" t="s">
        <v>609</v>
      </c>
      <c r="R1522" t="s">
        <v>1493</v>
      </c>
      <c r="U1522">
        <v>10</v>
      </c>
      <c r="V1522">
        <v>8</v>
      </c>
      <c r="W1522" t="s">
        <v>350</v>
      </c>
      <c r="X1522" t="s">
        <v>349</v>
      </c>
      <c r="Y1522" t="s">
        <v>580</v>
      </c>
      <c r="Z1522">
        <v>2017</v>
      </c>
      <c r="AB1522">
        <v>14</v>
      </c>
      <c r="AC1522">
        <v>6.19</v>
      </c>
      <c r="AE1522" t="s">
        <v>346</v>
      </c>
      <c r="AF1522">
        <v>46.142674</v>
      </c>
      <c r="AG1522">
        <v>-115.598088</v>
      </c>
      <c r="AH1522">
        <v>16337889</v>
      </c>
    </row>
    <row r="1523" spans="2:34">
      <c r="B1523" t="s">
        <v>345</v>
      </c>
      <c r="C1523" t="s">
        <v>1491</v>
      </c>
      <c r="D1523" s="3">
        <v>42900.34097222222</v>
      </c>
      <c r="F1523">
        <v>2017</v>
      </c>
      <c r="G1523" t="s">
        <v>574</v>
      </c>
      <c r="H1523" t="s">
        <v>352</v>
      </c>
      <c r="J1523">
        <v>0</v>
      </c>
      <c r="L1523">
        <v>1</v>
      </c>
      <c r="M1523">
        <v>50</v>
      </c>
      <c r="N1523">
        <v>3</v>
      </c>
      <c r="O1523" t="s">
        <v>609</v>
      </c>
      <c r="R1523" t="s">
        <v>1493</v>
      </c>
      <c r="U1523">
        <v>10</v>
      </c>
      <c r="V1523">
        <v>8</v>
      </c>
      <c r="W1523" t="s">
        <v>350</v>
      </c>
      <c r="X1523" t="s">
        <v>349</v>
      </c>
      <c r="Y1523" t="s">
        <v>580</v>
      </c>
      <c r="Z1523">
        <v>2017</v>
      </c>
      <c r="AB1523">
        <v>14</v>
      </c>
      <c r="AC1523">
        <v>6.19</v>
      </c>
      <c r="AE1523" t="s">
        <v>346</v>
      </c>
      <c r="AF1523">
        <v>46.142674</v>
      </c>
      <c r="AG1523">
        <v>-115.598088</v>
      </c>
      <c r="AH1523">
        <v>16337890</v>
      </c>
    </row>
    <row r="1524" spans="2:34">
      <c r="B1524" t="s">
        <v>345</v>
      </c>
      <c r="C1524" t="s">
        <v>1491</v>
      </c>
      <c r="D1524" s="3">
        <v>42900.34097222222</v>
      </c>
      <c r="F1524">
        <v>2017</v>
      </c>
      <c r="G1524" t="s">
        <v>605</v>
      </c>
      <c r="H1524" t="s">
        <v>352</v>
      </c>
      <c r="J1524">
        <v>0</v>
      </c>
      <c r="L1524">
        <v>1</v>
      </c>
      <c r="M1524">
        <v>77</v>
      </c>
      <c r="N1524">
        <v>7</v>
      </c>
      <c r="O1524" t="s">
        <v>353</v>
      </c>
      <c r="R1524" t="s">
        <v>1493</v>
      </c>
      <c r="U1524">
        <v>10</v>
      </c>
      <c r="V1524">
        <v>8</v>
      </c>
      <c r="W1524" t="s">
        <v>350</v>
      </c>
      <c r="X1524" t="s">
        <v>349</v>
      </c>
      <c r="Y1524" t="s">
        <v>580</v>
      </c>
      <c r="Z1524">
        <v>2017</v>
      </c>
      <c r="AB1524">
        <v>14</v>
      </c>
      <c r="AC1524">
        <v>6.19</v>
      </c>
      <c r="AE1524" t="s">
        <v>346</v>
      </c>
      <c r="AF1524">
        <v>46.142674</v>
      </c>
      <c r="AG1524">
        <v>-115.598088</v>
      </c>
      <c r="AH1524">
        <v>16337891</v>
      </c>
    </row>
    <row r="1525" spans="2:34">
      <c r="B1525" t="s">
        <v>345</v>
      </c>
      <c r="C1525" t="s">
        <v>1494</v>
      </c>
      <c r="D1525" s="3">
        <v>42871.427777777775</v>
      </c>
      <c r="F1525">
        <v>2017</v>
      </c>
      <c r="G1525" t="s">
        <v>578</v>
      </c>
      <c r="H1525" t="s">
        <v>352</v>
      </c>
      <c r="J1525">
        <v>0</v>
      </c>
      <c r="L1525">
        <v>1</v>
      </c>
      <c r="M1525">
        <v>162</v>
      </c>
      <c r="N1525">
        <v>40</v>
      </c>
      <c r="O1525" t="s">
        <v>575</v>
      </c>
      <c r="Q1525" t="s">
        <v>1495</v>
      </c>
      <c r="R1525" t="s">
        <v>1496</v>
      </c>
      <c r="U1525">
        <v>7</v>
      </c>
      <c r="V1525">
        <v>6</v>
      </c>
      <c r="W1525" t="s">
        <v>350</v>
      </c>
      <c r="X1525" t="s">
        <v>349</v>
      </c>
      <c r="Y1525" t="s">
        <v>642</v>
      </c>
      <c r="Z1525">
        <v>2017</v>
      </c>
      <c r="AB1525">
        <v>14</v>
      </c>
      <c r="AC1525">
        <v>6.6</v>
      </c>
      <c r="AE1525" t="s">
        <v>346</v>
      </c>
      <c r="AF1525">
        <v>46.142674</v>
      </c>
      <c r="AG1525">
        <v>-115.598088</v>
      </c>
      <c r="AH1525">
        <v>16342437</v>
      </c>
    </row>
    <row r="1526" spans="2:34">
      <c r="B1526" t="s">
        <v>345</v>
      </c>
      <c r="C1526" t="s">
        <v>1494</v>
      </c>
      <c r="D1526" s="3">
        <v>42871.427777777775</v>
      </c>
      <c r="F1526">
        <v>2017</v>
      </c>
      <c r="G1526" t="s">
        <v>578</v>
      </c>
      <c r="H1526" t="s">
        <v>352</v>
      </c>
      <c r="J1526">
        <v>0</v>
      </c>
      <c r="L1526">
        <v>1</v>
      </c>
      <c r="M1526">
        <v>168</v>
      </c>
      <c r="N1526">
        <v>45</v>
      </c>
      <c r="O1526" t="s">
        <v>575</v>
      </c>
      <c r="Q1526" t="s">
        <v>1497</v>
      </c>
      <c r="R1526" t="s">
        <v>1496</v>
      </c>
      <c r="U1526">
        <v>7</v>
      </c>
      <c r="V1526">
        <v>6</v>
      </c>
      <c r="W1526" t="s">
        <v>350</v>
      </c>
      <c r="X1526" t="s">
        <v>349</v>
      </c>
      <c r="Y1526" t="s">
        <v>642</v>
      </c>
      <c r="Z1526">
        <v>2017</v>
      </c>
      <c r="AB1526">
        <v>14</v>
      </c>
      <c r="AC1526">
        <v>6.6</v>
      </c>
      <c r="AE1526" t="s">
        <v>346</v>
      </c>
      <c r="AF1526">
        <v>46.142674</v>
      </c>
      <c r="AG1526">
        <v>-115.598088</v>
      </c>
      <c r="AH1526">
        <v>16342438</v>
      </c>
    </row>
    <row r="1527" spans="2:34">
      <c r="B1527" t="s">
        <v>345</v>
      </c>
      <c r="C1527" t="s">
        <v>1498</v>
      </c>
      <c r="D1527" s="3">
        <v>42989.415972222225</v>
      </c>
      <c r="F1527">
        <v>2017</v>
      </c>
      <c r="G1527" t="s">
        <v>605</v>
      </c>
      <c r="H1527" t="s">
        <v>352</v>
      </c>
      <c r="J1527">
        <v>0</v>
      </c>
      <c r="L1527">
        <v>35</v>
      </c>
      <c r="M1527">
        <v>0</v>
      </c>
      <c r="N1527">
        <v>0</v>
      </c>
      <c r="O1527" t="s">
        <v>606</v>
      </c>
      <c r="R1527" t="s">
        <v>603</v>
      </c>
      <c r="U1527">
        <v>25</v>
      </c>
      <c r="V1527">
        <v>25</v>
      </c>
      <c r="W1527" t="s">
        <v>350</v>
      </c>
      <c r="X1527" t="s">
        <v>349</v>
      </c>
      <c r="Y1527" t="s">
        <v>348</v>
      </c>
      <c r="Z1527">
        <v>2017</v>
      </c>
      <c r="AB1527">
        <v>2</v>
      </c>
      <c r="AC1527">
        <v>1.7</v>
      </c>
      <c r="AE1527" t="s">
        <v>346</v>
      </c>
      <c r="AF1527">
        <v>46.142674</v>
      </c>
      <c r="AG1527">
        <v>-115.598088</v>
      </c>
      <c r="AH1527">
        <v>16343717</v>
      </c>
    </row>
    <row r="1528" spans="2:34">
      <c r="B1528" t="s">
        <v>345</v>
      </c>
      <c r="C1528" t="s">
        <v>1498</v>
      </c>
      <c r="D1528" s="3">
        <v>42989.415972222225</v>
      </c>
      <c r="F1528">
        <v>2017</v>
      </c>
      <c r="G1528" t="s">
        <v>578</v>
      </c>
      <c r="H1528" t="s">
        <v>352</v>
      </c>
      <c r="J1528">
        <v>0</v>
      </c>
      <c r="L1528">
        <v>1</v>
      </c>
      <c r="M1528">
        <v>0</v>
      </c>
      <c r="N1528">
        <v>0</v>
      </c>
      <c r="O1528" t="s">
        <v>773</v>
      </c>
      <c r="R1528" t="s">
        <v>603</v>
      </c>
      <c r="U1528">
        <v>25</v>
      </c>
      <c r="V1528">
        <v>25</v>
      </c>
      <c r="W1528" t="s">
        <v>350</v>
      </c>
      <c r="X1528" t="s">
        <v>349</v>
      </c>
      <c r="Y1528" t="s">
        <v>348</v>
      </c>
      <c r="Z1528">
        <v>2017</v>
      </c>
      <c r="AB1528">
        <v>2</v>
      </c>
      <c r="AC1528">
        <v>1.7</v>
      </c>
      <c r="AE1528" t="s">
        <v>346</v>
      </c>
      <c r="AF1528">
        <v>46.142674</v>
      </c>
      <c r="AG1528">
        <v>-115.598088</v>
      </c>
      <c r="AH1528">
        <v>16343718</v>
      </c>
    </row>
    <row r="1529" spans="2:34">
      <c r="B1529" t="s">
        <v>345</v>
      </c>
      <c r="C1529" t="s">
        <v>1447</v>
      </c>
      <c r="D1529" s="3">
        <v>42910.383333333331</v>
      </c>
      <c r="F1529">
        <v>2017</v>
      </c>
      <c r="G1529" t="s">
        <v>610</v>
      </c>
      <c r="H1529" t="s">
        <v>352</v>
      </c>
      <c r="J1529">
        <v>0</v>
      </c>
      <c r="L1529">
        <v>1</v>
      </c>
      <c r="M1529">
        <v>46</v>
      </c>
      <c r="N1529">
        <v>1</v>
      </c>
      <c r="O1529" t="s">
        <v>353</v>
      </c>
      <c r="R1529" t="s">
        <v>608</v>
      </c>
      <c r="U1529">
        <v>13.5</v>
      </c>
      <c r="V1529">
        <v>11.5</v>
      </c>
      <c r="W1529" t="s">
        <v>350</v>
      </c>
      <c r="X1529" t="s">
        <v>349</v>
      </c>
      <c r="Y1529" t="s">
        <v>348</v>
      </c>
      <c r="Z1529">
        <v>2017</v>
      </c>
      <c r="AB1529">
        <v>12</v>
      </c>
      <c r="AC1529">
        <v>4.71</v>
      </c>
      <c r="AE1529" t="s">
        <v>346</v>
      </c>
      <c r="AF1529">
        <v>46.142674</v>
      </c>
      <c r="AG1529">
        <v>-115.598088</v>
      </c>
      <c r="AH1529">
        <v>16211432</v>
      </c>
    </row>
    <row r="1530" spans="2:34">
      <c r="B1530" t="s">
        <v>345</v>
      </c>
      <c r="C1530" t="s">
        <v>1447</v>
      </c>
      <c r="D1530" s="3">
        <v>42910.383333333331</v>
      </c>
      <c r="F1530">
        <v>2017</v>
      </c>
      <c r="G1530" t="s">
        <v>574</v>
      </c>
      <c r="H1530" t="s">
        <v>352</v>
      </c>
      <c r="J1530">
        <v>0</v>
      </c>
      <c r="L1530">
        <v>1</v>
      </c>
      <c r="M1530">
        <v>56</v>
      </c>
      <c r="N1530">
        <v>2</v>
      </c>
      <c r="O1530" t="s">
        <v>609</v>
      </c>
      <c r="R1530" t="s">
        <v>608</v>
      </c>
      <c r="U1530">
        <v>13.5</v>
      </c>
      <c r="V1530">
        <v>11.5</v>
      </c>
      <c r="W1530" t="s">
        <v>350</v>
      </c>
      <c r="X1530" t="s">
        <v>349</v>
      </c>
      <c r="Y1530" t="s">
        <v>348</v>
      </c>
      <c r="Z1530">
        <v>2017</v>
      </c>
      <c r="AB1530">
        <v>12</v>
      </c>
      <c r="AC1530">
        <v>4.71</v>
      </c>
      <c r="AE1530" t="s">
        <v>346</v>
      </c>
      <c r="AF1530">
        <v>46.142674</v>
      </c>
      <c r="AG1530">
        <v>-115.598088</v>
      </c>
      <c r="AH1530">
        <v>16211433</v>
      </c>
    </row>
    <row r="1531" spans="2:34">
      <c r="B1531" t="s">
        <v>345</v>
      </c>
      <c r="C1531" t="s">
        <v>1447</v>
      </c>
      <c r="D1531" s="3">
        <v>42910.383333333331</v>
      </c>
      <c r="F1531">
        <v>2017</v>
      </c>
      <c r="G1531" t="s">
        <v>605</v>
      </c>
      <c r="H1531" t="s">
        <v>352</v>
      </c>
      <c r="J1531">
        <v>0</v>
      </c>
      <c r="L1531">
        <v>1</v>
      </c>
      <c r="M1531">
        <v>77</v>
      </c>
      <c r="N1531">
        <v>5</v>
      </c>
      <c r="O1531" t="s">
        <v>353</v>
      </c>
      <c r="R1531" t="s">
        <v>608</v>
      </c>
      <c r="U1531">
        <v>13.5</v>
      </c>
      <c r="V1531">
        <v>11.5</v>
      </c>
      <c r="W1531" t="s">
        <v>350</v>
      </c>
      <c r="X1531" t="s">
        <v>349</v>
      </c>
      <c r="Y1531" t="s">
        <v>348</v>
      </c>
      <c r="Z1531">
        <v>2017</v>
      </c>
      <c r="AB1531">
        <v>12</v>
      </c>
      <c r="AC1531">
        <v>4.71</v>
      </c>
      <c r="AE1531" t="s">
        <v>346</v>
      </c>
      <c r="AF1531">
        <v>46.142674</v>
      </c>
      <c r="AG1531">
        <v>-115.598088</v>
      </c>
      <c r="AH1531">
        <v>16211434</v>
      </c>
    </row>
    <row r="1532" spans="2:34">
      <c r="B1532" t="s">
        <v>345</v>
      </c>
      <c r="C1532" t="s">
        <v>1447</v>
      </c>
      <c r="D1532" s="3">
        <v>42910.383333333331</v>
      </c>
      <c r="F1532">
        <v>2017</v>
      </c>
      <c r="G1532" t="s">
        <v>743</v>
      </c>
      <c r="H1532" t="s">
        <v>352</v>
      </c>
      <c r="J1532">
        <v>0</v>
      </c>
      <c r="L1532">
        <v>1</v>
      </c>
      <c r="M1532">
        <v>66</v>
      </c>
      <c r="N1532">
        <v>4</v>
      </c>
      <c r="O1532" t="s">
        <v>353</v>
      </c>
      <c r="R1532" t="s">
        <v>608</v>
      </c>
      <c r="U1532">
        <v>13.5</v>
      </c>
      <c r="V1532">
        <v>11.5</v>
      </c>
      <c r="W1532" t="s">
        <v>350</v>
      </c>
      <c r="X1532" t="s">
        <v>349</v>
      </c>
      <c r="Y1532" t="s">
        <v>348</v>
      </c>
      <c r="Z1532">
        <v>2017</v>
      </c>
      <c r="AB1532">
        <v>12</v>
      </c>
      <c r="AC1532">
        <v>4.71</v>
      </c>
      <c r="AE1532" t="s">
        <v>346</v>
      </c>
      <c r="AF1532">
        <v>46.142674</v>
      </c>
      <c r="AG1532">
        <v>-115.598088</v>
      </c>
      <c r="AH1532">
        <v>16211435</v>
      </c>
    </row>
    <row r="1533" spans="2:34">
      <c r="B1533" t="s">
        <v>345</v>
      </c>
      <c r="C1533" t="s">
        <v>1447</v>
      </c>
      <c r="D1533" s="3">
        <v>42910.383333333331</v>
      </c>
      <c r="F1533">
        <v>2017</v>
      </c>
      <c r="G1533" t="s">
        <v>605</v>
      </c>
      <c r="H1533" t="s">
        <v>352</v>
      </c>
      <c r="J1533">
        <v>0</v>
      </c>
      <c r="L1533">
        <v>1</v>
      </c>
      <c r="M1533">
        <v>81</v>
      </c>
      <c r="N1533">
        <v>7</v>
      </c>
      <c r="O1533" t="s">
        <v>353</v>
      </c>
      <c r="R1533" t="s">
        <v>608</v>
      </c>
      <c r="U1533">
        <v>13.5</v>
      </c>
      <c r="V1533">
        <v>11.5</v>
      </c>
      <c r="W1533" t="s">
        <v>350</v>
      </c>
      <c r="X1533" t="s">
        <v>349</v>
      </c>
      <c r="Y1533" t="s">
        <v>348</v>
      </c>
      <c r="Z1533">
        <v>2017</v>
      </c>
      <c r="AB1533">
        <v>12</v>
      </c>
      <c r="AC1533">
        <v>4.71</v>
      </c>
      <c r="AE1533" t="s">
        <v>346</v>
      </c>
      <c r="AF1533">
        <v>46.142674</v>
      </c>
      <c r="AG1533">
        <v>-115.598088</v>
      </c>
      <c r="AH1533">
        <v>16211436</v>
      </c>
    </row>
    <row r="1534" spans="2:34">
      <c r="B1534" t="s">
        <v>345</v>
      </c>
      <c r="C1534" t="s">
        <v>1499</v>
      </c>
      <c r="D1534" s="3">
        <v>42808.355555555558</v>
      </c>
      <c r="F1534">
        <v>2017</v>
      </c>
      <c r="G1534" t="s">
        <v>574</v>
      </c>
      <c r="H1534" t="s">
        <v>352</v>
      </c>
      <c r="J1534">
        <v>0</v>
      </c>
      <c r="L1534">
        <v>1</v>
      </c>
      <c r="M1534">
        <v>83</v>
      </c>
      <c r="N1534">
        <v>5</v>
      </c>
      <c r="O1534" t="s">
        <v>575</v>
      </c>
      <c r="Q1534" t="s">
        <v>576</v>
      </c>
      <c r="R1534" t="s">
        <v>1500</v>
      </c>
      <c r="U1534">
        <v>5</v>
      </c>
      <c r="V1534">
        <v>4.8</v>
      </c>
      <c r="W1534" t="s">
        <v>350</v>
      </c>
      <c r="X1534" t="s">
        <v>349</v>
      </c>
      <c r="Y1534" t="s">
        <v>580</v>
      </c>
      <c r="Z1534">
        <v>2017</v>
      </c>
      <c r="AB1534">
        <v>10</v>
      </c>
      <c r="AE1534" t="s">
        <v>346</v>
      </c>
      <c r="AF1534">
        <v>46.142674</v>
      </c>
      <c r="AG1534">
        <v>-115.598088</v>
      </c>
      <c r="AH1534">
        <v>16212774</v>
      </c>
    </row>
    <row r="1535" spans="2:34">
      <c r="B1535" t="s">
        <v>345</v>
      </c>
      <c r="C1535" t="s">
        <v>1501</v>
      </c>
      <c r="D1535" s="3">
        <v>42918.392361111109</v>
      </c>
      <c r="F1535">
        <v>2017</v>
      </c>
      <c r="G1535" t="s">
        <v>602</v>
      </c>
      <c r="H1535" t="s">
        <v>352</v>
      </c>
      <c r="J1535">
        <v>0</v>
      </c>
      <c r="L1535">
        <v>2</v>
      </c>
      <c r="M1535">
        <v>0</v>
      </c>
      <c r="N1535">
        <v>0</v>
      </c>
      <c r="O1535" t="s">
        <v>643</v>
      </c>
      <c r="R1535" t="s">
        <v>608</v>
      </c>
      <c r="U1535">
        <v>17</v>
      </c>
      <c r="V1535">
        <v>17</v>
      </c>
      <c r="W1535" t="s">
        <v>350</v>
      </c>
      <c r="X1535" t="s">
        <v>349</v>
      </c>
      <c r="Y1535" t="s">
        <v>348</v>
      </c>
      <c r="Z1535">
        <v>2017</v>
      </c>
      <c r="AB1535">
        <v>10</v>
      </c>
      <c r="AC1535">
        <v>3.75</v>
      </c>
      <c r="AE1535" t="s">
        <v>346</v>
      </c>
      <c r="AF1535">
        <v>46.142674</v>
      </c>
      <c r="AG1535">
        <v>-115.598088</v>
      </c>
      <c r="AH1535">
        <v>16216843</v>
      </c>
    </row>
    <row r="1536" spans="2:34">
      <c r="B1536" t="s">
        <v>345</v>
      </c>
      <c r="C1536" t="s">
        <v>1501</v>
      </c>
      <c r="D1536" s="3">
        <v>42918.392361111109</v>
      </c>
      <c r="F1536">
        <v>2017</v>
      </c>
      <c r="G1536" t="s">
        <v>611</v>
      </c>
      <c r="H1536" t="s">
        <v>352</v>
      </c>
      <c r="J1536">
        <v>0</v>
      </c>
      <c r="L1536">
        <v>10</v>
      </c>
      <c r="M1536">
        <v>0</v>
      </c>
      <c r="N1536">
        <v>0</v>
      </c>
      <c r="O1536" t="s">
        <v>643</v>
      </c>
      <c r="R1536" t="s">
        <v>608</v>
      </c>
      <c r="U1536">
        <v>17</v>
      </c>
      <c r="V1536">
        <v>17</v>
      </c>
      <c r="W1536" t="s">
        <v>350</v>
      </c>
      <c r="X1536" t="s">
        <v>349</v>
      </c>
      <c r="Y1536" t="s">
        <v>348</v>
      </c>
      <c r="Z1536">
        <v>2017</v>
      </c>
      <c r="AB1536">
        <v>10</v>
      </c>
      <c r="AC1536">
        <v>3.75</v>
      </c>
      <c r="AE1536" t="s">
        <v>346</v>
      </c>
      <c r="AF1536">
        <v>46.142674</v>
      </c>
      <c r="AG1536">
        <v>-115.598088</v>
      </c>
      <c r="AH1536">
        <v>16216844</v>
      </c>
    </row>
    <row r="1537" spans="2:35">
      <c r="B1537" t="s">
        <v>345</v>
      </c>
      <c r="C1537" t="s">
        <v>1501</v>
      </c>
      <c r="D1537" s="3">
        <v>42918.392361111109</v>
      </c>
      <c r="F1537">
        <v>2017</v>
      </c>
      <c r="G1537" t="s">
        <v>578</v>
      </c>
      <c r="H1537" t="s">
        <v>352</v>
      </c>
      <c r="J1537">
        <v>0</v>
      </c>
      <c r="L1537">
        <v>1</v>
      </c>
      <c r="M1537">
        <v>95</v>
      </c>
      <c r="N1537">
        <v>10</v>
      </c>
      <c r="O1537" t="s">
        <v>575</v>
      </c>
      <c r="Q1537" t="s">
        <v>1502</v>
      </c>
      <c r="R1537" t="s">
        <v>608</v>
      </c>
      <c r="U1537">
        <v>17</v>
      </c>
      <c r="V1537">
        <v>17</v>
      </c>
      <c r="W1537" t="s">
        <v>350</v>
      </c>
      <c r="X1537" t="s">
        <v>349</v>
      </c>
      <c r="Y1537" t="s">
        <v>348</v>
      </c>
      <c r="Z1537">
        <v>2017</v>
      </c>
      <c r="AB1537">
        <v>10</v>
      </c>
      <c r="AC1537">
        <v>3.75</v>
      </c>
      <c r="AE1537" t="s">
        <v>346</v>
      </c>
      <c r="AF1537">
        <v>46.142674</v>
      </c>
      <c r="AG1537">
        <v>-115.598088</v>
      </c>
      <c r="AH1537">
        <v>16216845</v>
      </c>
      <c r="AI1537">
        <f>17-76556</f>
        <v>-76539</v>
      </c>
    </row>
    <row r="1538" spans="2:35">
      <c r="B1538" t="s">
        <v>345</v>
      </c>
      <c r="C1538" t="s">
        <v>1501</v>
      </c>
      <c r="D1538" s="3">
        <v>42918.392361111109</v>
      </c>
      <c r="F1538">
        <v>2017</v>
      </c>
      <c r="G1538" t="s">
        <v>615</v>
      </c>
      <c r="H1538" t="s">
        <v>352</v>
      </c>
      <c r="J1538">
        <v>0</v>
      </c>
      <c r="L1538">
        <v>1</v>
      </c>
      <c r="M1538">
        <v>141</v>
      </c>
      <c r="N1538">
        <v>28</v>
      </c>
      <c r="O1538" t="s">
        <v>353</v>
      </c>
      <c r="R1538" t="s">
        <v>608</v>
      </c>
      <c r="U1538">
        <v>17</v>
      </c>
      <c r="V1538">
        <v>17</v>
      </c>
      <c r="W1538" t="s">
        <v>350</v>
      </c>
      <c r="X1538" t="s">
        <v>349</v>
      </c>
      <c r="Y1538" t="s">
        <v>348</v>
      </c>
      <c r="Z1538">
        <v>2017</v>
      </c>
      <c r="AB1538">
        <v>10</v>
      </c>
      <c r="AC1538">
        <v>3.75</v>
      </c>
      <c r="AE1538" t="s">
        <v>346</v>
      </c>
      <c r="AF1538">
        <v>46.142674</v>
      </c>
      <c r="AG1538">
        <v>-115.598088</v>
      </c>
      <c r="AH1538">
        <v>16216846</v>
      </c>
    </row>
    <row r="1539" spans="2:35">
      <c r="B1539" t="s">
        <v>345</v>
      </c>
      <c r="C1539" t="s">
        <v>1501</v>
      </c>
      <c r="D1539" s="3">
        <v>42918.392361111109</v>
      </c>
      <c r="F1539">
        <v>2017</v>
      </c>
      <c r="G1539" t="s">
        <v>743</v>
      </c>
      <c r="H1539" t="s">
        <v>352</v>
      </c>
      <c r="J1539">
        <v>0</v>
      </c>
      <c r="L1539">
        <v>3</v>
      </c>
      <c r="M1539">
        <v>0</v>
      </c>
      <c r="N1539">
        <v>0</v>
      </c>
      <c r="O1539" t="s">
        <v>643</v>
      </c>
      <c r="R1539" t="s">
        <v>608</v>
      </c>
      <c r="U1539">
        <v>17</v>
      </c>
      <c r="V1539">
        <v>17</v>
      </c>
      <c r="W1539" t="s">
        <v>350</v>
      </c>
      <c r="X1539" t="s">
        <v>349</v>
      </c>
      <c r="Y1539" t="s">
        <v>348</v>
      </c>
      <c r="Z1539">
        <v>2017</v>
      </c>
      <c r="AB1539">
        <v>10</v>
      </c>
      <c r="AC1539">
        <v>3.75</v>
      </c>
      <c r="AE1539" t="s">
        <v>346</v>
      </c>
      <c r="AF1539">
        <v>46.142674</v>
      </c>
      <c r="AG1539">
        <v>-115.598088</v>
      </c>
      <c r="AH1539">
        <v>16216847</v>
      </c>
    </row>
    <row r="1540" spans="2:35">
      <c r="B1540" t="s">
        <v>345</v>
      </c>
      <c r="C1540" t="s">
        <v>1501</v>
      </c>
      <c r="D1540" s="3">
        <v>42918.392361111109</v>
      </c>
      <c r="F1540">
        <v>2017</v>
      </c>
      <c r="G1540" t="s">
        <v>605</v>
      </c>
      <c r="H1540" t="s">
        <v>352</v>
      </c>
      <c r="J1540">
        <v>0</v>
      </c>
      <c r="L1540">
        <v>2</v>
      </c>
      <c r="M1540">
        <v>0</v>
      </c>
      <c r="N1540">
        <v>0</v>
      </c>
      <c r="O1540" t="s">
        <v>643</v>
      </c>
      <c r="R1540" t="s">
        <v>608</v>
      </c>
      <c r="U1540">
        <v>17</v>
      </c>
      <c r="V1540">
        <v>17</v>
      </c>
      <c r="W1540" t="s">
        <v>350</v>
      </c>
      <c r="X1540" t="s">
        <v>349</v>
      </c>
      <c r="Y1540" t="s">
        <v>348</v>
      </c>
      <c r="Z1540">
        <v>2017</v>
      </c>
      <c r="AB1540">
        <v>10</v>
      </c>
      <c r="AC1540">
        <v>3.75</v>
      </c>
      <c r="AE1540" t="s">
        <v>346</v>
      </c>
      <c r="AF1540">
        <v>46.142674</v>
      </c>
      <c r="AG1540">
        <v>-115.598088</v>
      </c>
      <c r="AH1540">
        <v>16216848</v>
      </c>
    </row>
    <row r="1541" spans="2:35">
      <c r="B1541" t="s">
        <v>345</v>
      </c>
      <c r="C1541" t="s">
        <v>1503</v>
      </c>
      <c r="D1541" s="3">
        <v>43011.589583333334</v>
      </c>
      <c r="F1541">
        <v>2017</v>
      </c>
      <c r="G1541" t="s">
        <v>611</v>
      </c>
      <c r="H1541" t="s">
        <v>352</v>
      </c>
      <c r="J1541">
        <v>0</v>
      </c>
      <c r="L1541">
        <v>1</v>
      </c>
      <c r="M1541">
        <v>101</v>
      </c>
      <c r="N1541">
        <v>10</v>
      </c>
      <c r="O1541" t="s">
        <v>353</v>
      </c>
      <c r="R1541" t="s">
        <v>1504</v>
      </c>
      <c r="U1541">
        <v>12</v>
      </c>
      <c r="V1541">
        <v>12</v>
      </c>
      <c r="W1541" t="s">
        <v>350</v>
      </c>
      <c r="X1541" t="s">
        <v>349</v>
      </c>
      <c r="Y1541" t="s">
        <v>642</v>
      </c>
      <c r="Z1541">
        <v>2017</v>
      </c>
      <c r="AB1541">
        <v>8</v>
      </c>
      <c r="AC1541">
        <v>2.13</v>
      </c>
      <c r="AE1541" t="s">
        <v>346</v>
      </c>
      <c r="AF1541">
        <v>46.142674</v>
      </c>
      <c r="AG1541">
        <v>-115.598088</v>
      </c>
      <c r="AH1541">
        <v>16357848</v>
      </c>
    </row>
    <row r="1542" spans="2:35">
      <c r="B1542" t="s">
        <v>345</v>
      </c>
      <c r="C1542" t="s">
        <v>1503</v>
      </c>
      <c r="D1542" s="3">
        <v>43011.589583333334</v>
      </c>
      <c r="F1542">
        <v>2017</v>
      </c>
      <c r="G1542" t="s">
        <v>605</v>
      </c>
      <c r="H1542" t="s">
        <v>352</v>
      </c>
      <c r="J1542">
        <v>0</v>
      </c>
      <c r="L1542">
        <v>16</v>
      </c>
      <c r="M1542">
        <v>0</v>
      </c>
      <c r="N1542">
        <v>0</v>
      </c>
      <c r="O1542" t="s">
        <v>606</v>
      </c>
      <c r="R1542" t="s">
        <v>1504</v>
      </c>
      <c r="U1542">
        <v>12</v>
      </c>
      <c r="V1542">
        <v>12</v>
      </c>
      <c r="W1542" t="s">
        <v>350</v>
      </c>
      <c r="X1542" t="s">
        <v>349</v>
      </c>
      <c r="Y1542" t="s">
        <v>642</v>
      </c>
      <c r="Z1542">
        <v>2017</v>
      </c>
      <c r="AB1542">
        <v>8</v>
      </c>
      <c r="AC1542">
        <v>2.13</v>
      </c>
      <c r="AE1542" t="s">
        <v>346</v>
      </c>
      <c r="AF1542">
        <v>46.142674</v>
      </c>
      <c r="AG1542">
        <v>-115.598088</v>
      </c>
      <c r="AH1542">
        <v>16357849</v>
      </c>
    </row>
    <row r="1543" spans="2:35">
      <c r="B1543" t="s">
        <v>345</v>
      </c>
      <c r="C1543" t="s">
        <v>1503</v>
      </c>
      <c r="D1543" s="3">
        <v>43011.589583333334</v>
      </c>
      <c r="F1543">
        <v>2017</v>
      </c>
      <c r="G1543" t="s">
        <v>605</v>
      </c>
      <c r="H1543" t="s">
        <v>352</v>
      </c>
      <c r="J1543">
        <v>0</v>
      </c>
      <c r="L1543">
        <v>1</v>
      </c>
      <c r="M1543">
        <v>137</v>
      </c>
      <c r="N1543">
        <v>32</v>
      </c>
      <c r="O1543" t="s">
        <v>353</v>
      </c>
      <c r="R1543" t="s">
        <v>1504</v>
      </c>
      <c r="U1543">
        <v>12</v>
      </c>
      <c r="V1543">
        <v>12</v>
      </c>
      <c r="W1543" t="s">
        <v>350</v>
      </c>
      <c r="X1543" t="s">
        <v>349</v>
      </c>
      <c r="Y1543" t="s">
        <v>642</v>
      </c>
      <c r="Z1543">
        <v>2017</v>
      </c>
      <c r="AB1543">
        <v>8</v>
      </c>
      <c r="AC1543">
        <v>2.13</v>
      </c>
      <c r="AE1543" t="s">
        <v>346</v>
      </c>
      <c r="AF1543">
        <v>46.142674</v>
      </c>
      <c r="AG1543">
        <v>-115.598088</v>
      </c>
      <c r="AH1543">
        <v>16357850</v>
      </c>
    </row>
    <row r="1544" spans="2:35">
      <c r="B1544" t="s">
        <v>345</v>
      </c>
      <c r="C1544" t="s">
        <v>1477</v>
      </c>
      <c r="D1544" s="3">
        <v>42937.31527777778</v>
      </c>
      <c r="F1544">
        <v>2017</v>
      </c>
      <c r="G1544" t="s">
        <v>611</v>
      </c>
      <c r="H1544" t="s">
        <v>352</v>
      </c>
      <c r="J1544">
        <v>0</v>
      </c>
      <c r="L1544">
        <v>8</v>
      </c>
      <c r="O1544" t="s">
        <v>643</v>
      </c>
      <c r="U1544">
        <v>25</v>
      </c>
      <c r="V1544">
        <v>16</v>
      </c>
      <c r="W1544" t="s">
        <v>350</v>
      </c>
      <c r="X1544" t="s">
        <v>349</v>
      </c>
      <c r="Y1544" t="s">
        <v>813</v>
      </c>
      <c r="Z1544">
        <v>2017</v>
      </c>
      <c r="AB1544">
        <v>10</v>
      </c>
      <c r="AC1544">
        <v>1</v>
      </c>
      <c r="AE1544" t="s">
        <v>346</v>
      </c>
      <c r="AF1544">
        <v>46.142674</v>
      </c>
      <c r="AG1544">
        <v>-115.598088</v>
      </c>
      <c r="AH1544">
        <v>16256206</v>
      </c>
    </row>
    <row r="1545" spans="2:35">
      <c r="B1545" t="s">
        <v>345</v>
      </c>
      <c r="C1545" t="s">
        <v>1477</v>
      </c>
      <c r="D1545" s="3">
        <v>42937.31527777778</v>
      </c>
      <c r="F1545">
        <v>2017</v>
      </c>
      <c r="G1545" t="s">
        <v>602</v>
      </c>
      <c r="H1545" t="s">
        <v>352</v>
      </c>
      <c r="J1545">
        <v>0</v>
      </c>
      <c r="L1545">
        <v>3</v>
      </c>
      <c r="O1545" t="s">
        <v>643</v>
      </c>
      <c r="U1545">
        <v>25</v>
      </c>
      <c r="V1545">
        <v>16</v>
      </c>
      <c r="W1545" t="s">
        <v>350</v>
      </c>
      <c r="X1545" t="s">
        <v>349</v>
      </c>
      <c r="Y1545" t="s">
        <v>813</v>
      </c>
      <c r="Z1545">
        <v>2017</v>
      </c>
      <c r="AB1545">
        <v>10</v>
      </c>
      <c r="AC1545">
        <v>1</v>
      </c>
      <c r="AE1545" t="s">
        <v>346</v>
      </c>
      <c r="AF1545">
        <v>46.142674</v>
      </c>
      <c r="AG1545">
        <v>-115.598088</v>
      </c>
      <c r="AH1545">
        <v>16256207</v>
      </c>
    </row>
    <row r="1546" spans="2:35">
      <c r="B1546" t="s">
        <v>345</v>
      </c>
      <c r="C1546" t="s">
        <v>1505</v>
      </c>
      <c r="D1546" s="3">
        <v>42966.385416666664</v>
      </c>
      <c r="F1546">
        <v>2017</v>
      </c>
      <c r="G1546" t="s">
        <v>605</v>
      </c>
      <c r="H1546" t="s">
        <v>352</v>
      </c>
      <c r="J1546">
        <v>0</v>
      </c>
      <c r="L1546">
        <v>20</v>
      </c>
      <c r="M1546">
        <v>0</v>
      </c>
      <c r="N1546">
        <v>0</v>
      </c>
      <c r="O1546" t="s">
        <v>606</v>
      </c>
      <c r="R1546" t="s">
        <v>1506</v>
      </c>
      <c r="U1546">
        <v>25</v>
      </c>
      <c r="V1546">
        <v>25</v>
      </c>
      <c r="W1546" t="s">
        <v>350</v>
      </c>
      <c r="X1546" t="s">
        <v>349</v>
      </c>
      <c r="Y1546" t="s">
        <v>642</v>
      </c>
      <c r="Z1546">
        <v>2017</v>
      </c>
      <c r="AB1546">
        <v>7</v>
      </c>
      <c r="AC1546">
        <v>1.94</v>
      </c>
      <c r="AE1546" t="s">
        <v>346</v>
      </c>
      <c r="AF1546">
        <v>46.142674</v>
      </c>
      <c r="AG1546">
        <v>-115.598088</v>
      </c>
      <c r="AH1546">
        <v>16296178</v>
      </c>
    </row>
  </sheetData>
  <autoFilter ref="A3:AJ1546" xr:uid="{00000000-0009-0000-0000-00000300000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91"/>
  <sheetViews>
    <sheetView view="pageBreakPreview" zoomScale="70" zoomScaleNormal="100" zoomScaleSheetLayoutView="70" workbookViewId="0">
      <selection activeCell="G25" sqref="G25"/>
    </sheetView>
  </sheetViews>
  <sheetFormatPr defaultColWidth="9.140625" defaultRowHeight="14.45"/>
  <cols>
    <col min="1" max="1" width="11.140625" style="4" customWidth="1"/>
    <col min="2" max="3" width="9.140625" style="4" customWidth="1"/>
    <col min="4" max="10" width="9.140625" style="4"/>
    <col min="11" max="11" width="9.5703125" style="4" customWidth="1"/>
    <col min="12" max="16384" width="9.140625" style="4"/>
  </cols>
  <sheetData>
    <row r="1" spans="1:11" ht="21">
      <c r="K1" s="5" t="s">
        <v>1507</v>
      </c>
    </row>
    <row r="2" spans="1:11" ht="21">
      <c r="K2" s="5" t="s">
        <v>1508</v>
      </c>
    </row>
    <row r="4" spans="1:11" ht="21">
      <c r="A4" s="6"/>
      <c r="K4" s="5" t="s">
        <v>1509</v>
      </c>
    </row>
    <row r="5" spans="1:11" ht="16.149999999999999" thickBot="1">
      <c r="A5" s="6"/>
    </row>
    <row r="6" spans="1:11" s="7" customFormat="1" ht="15" customHeight="1">
      <c r="A6" s="172" t="s">
        <v>1510</v>
      </c>
      <c r="B6" s="173"/>
      <c r="C6" s="174" t="s">
        <v>1511</v>
      </c>
      <c r="D6" s="175"/>
      <c r="E6" s="174" t="s">
        <v>1512</v>
      </c>
      <c r="F6" s="175"/>
      <c r="G6" s="174" t="s">
        <v>1513</v>
      </c>
      <c r="H6" s="175"/>
      <c r="I6" s="174" t="s">
        <v>1514</v>
      </c>
      <c r="J6" s="176"/>
      <c r="K6" s="177"/>
    </row>
    <row r="7" spans="1:11" ht="26.25" customHeight="1" thickBot="1">
      <c r="A7" s="178" t="s">
        <v>1515</v>
      </c>
      <c r="B7" s="179"/>
      <c r="C7" s="180" t="s">
        <v>1516</v>
      </c>
      <c r="D7" s="181"/>
      <c r="E7" s="182" t="s">
        <v>1517</v>
      </c>
      <c r="F7" s="181"/>
      <c r="G7" s="182" t="s">
        <v>1518</v>
      </c>
      <c r="H7" s="181"/>
      <c r="I7" s="183"/>
      <c r="J7" s="184"/>
      <c r="K7" s="185"/>
    </row>
    <row r="8" spans="1:11" s="12" customFormat="1" ht="12" customHeight="1" thickBot="1">
      <c r="A8" s="8"/>
      <c r="B8" s="8"/>
      <c r="C8" s="8"/>
      <c r="D8" s="9"/>
      <c r="E8" s="9"/>
      <c r="F8" s="10"/>
      <c r="G8" s="10"/>
      <c r="H8" s="10"/>
      <c r="I8" s="10"/>
      <c r="J8" s="11"/>
      <c r="K8" s="144"/>
    </row>
    <row r="9" spans="1:11" s="15" customFormat="1" ht="42" thickBot="1">
      <c r="A9" s="13"/>
      <c r="B9" s="14" t="s">
        <v>1519</v>
      </c>
      <c r="C9" s="14" t="s">
        <v>1520</v>
      </c>
      <c r="D9" s="14" t="s">
        <v>1521</v>
      </c>
      <c r="E9" s="14" t="s">
        <v>1522</v>
      </c>
      <c r="F9" s="14" t="s">
        <v>1523</v>
      </c>
      <c r="G9" s="14" t="s">
        <v>1524</v>
      </c>
      <c r="H9" s="14" t="s">
        <v>1525</v>
      </c>
      <c r="I9" s="14" t="s">
        <v>1526</v>
      </c>
      <c r="J9" s="14" t="s">
        <v>1527</v>
      </c>
      <c r="K9" s="14" t="s">
        <v>1528</v>
      </c>
    </row>
    <row r="10" spans="1:11" ht="12" customHeight="1" thickBot="1">
      <c r="A10" s="12"/>
      <c r="B10" s="12"/>
      <c r="C10" s="12"/>
      <c r="D10" s="12"/>
      <c r="E10" s="12"/>
      <c r="F10" s="12"/>
      <c r="G10" s="12"/>
      <c r="H10" s="12"/>
      <c r="I10" s="12"/>
      <c r="J10" s="12"/>
      <c r="K10" s="12"/>
    </row>
    <row r="11" spans="1:11" ht="15.6">
      <c r="A11" s="16" t="s">
        <v>366</v>
      </c>
      <c r="B11" s="186"/>
      <c r="C11" s="186"/>
      <c r="D11" s="186"/>
      <c r="E11" s="186"/>
      <c r="F11" s="186"/>
      <c r="G11" s="186"/>
      <c r="H11" s="186"/>
      <c r="I11" s="186"/>
      <c r="J11" s="186"/>
      <c r="K11" s="189"/>
    </row>
    <row r="12" spans="1:11" ht="43.15">
      <c r="A12" s="17" t="s">
        <v>1529</v>
      </c>
      <c r="B12" s="187"/>
      <c r="C12" s="187"/>
      <c r="D12" s="187"/>
      <c r="E12" s="187"/>
      <c r="F12" s="187"/>
      <c r="G12" s="187"/>
      <c r="H12" s="187"/>
      <c r="I12" s="187"/>
      <c r="J12" s="188"/>
      <c r="K12" s="190"/>
    </row>
    <row r="13" spans="1:11" ht="30" customHeight="1" thickBot="1">
      <c r="A13" s="18" t="s">
        <v>1530</v>
      </c>
      <c r="B13" s="19"/>
      <c r="C13" s="19"/>
      <c r="D13" s="19"/>
      <c r="E13" s="19"/>
      <c r="F13" s="19"/>
      <c r="G13" s="19"/>
      <c r="H13" s="19"/>
      <c r="I13" s="19"/>
      <c r="J13" s="20" t="s">
        <v>1531</v>
      </c>
      <c r="K13" s="21"/>
    </row>
    <row r="14" spans="1:11" ht="12" customHeight="1" thickBot="1">
      <c r="A14" s="12"/>
      <c r="B14" s="12"/>
      <c r="C14" s="12"/>
      <c r="D14" s="12"/>
      <c r="E14" s="12"/>
      <c r="F14" s="12"/>
      <c r="G14" s="12"/>
      <c r="H14" s="12"/>
      <c r="I14" s="12"/>
      <c r="J14" s="12"/>
      <c r="K14" s="12"/>
    </row>
    <row r="15" spans="1:11" ht="15.6">
      <c r="A15" s="16" t="s">
        <v>382</v>
      </c>
      <c r="B15" s="186"/>
      <c r="C15" s="191"/>
      <c r="D15" s="193"/>
      <c r="E15" s="191"/>
      <c r="F15" s="191"/>
      <c r="G15" s="186"/>
      <c r="H15" s="191"/>
      <c r="I15" s="186"/>
      <c r="J15" s="186"/>
      <c r="K15" s="189"/>
    </row>
    <row r="16" spans="1:11" ht="43.15">
      <c r="A16" s="17" t="s">
        <v>1532</v>
      </c>
      <c r="B16" s="187"/>
      <c r="C16" s="192"/>
      <c r="D16" s="194"/>
      <c r="E16" s="192"/>
      <c r="F16" s="192"/>
      <c r="G16" s="187"/>
      <c r="H16" s="192"/>
      <c r="I16" s="188"/>
      <c r="J16" s="188"/>
      <c r="K16" s="190"/>
    </row>
    <row r="17" spans="1:11" ht="29.45" thickBot="1">
      <c r="A17" s="18" t="s">
        <v>1530</v>
      </c>
      <c r="B17" s="19"/>
      <c r="C17" s="19"/>
      <c r="D17" s="19"/>
      <c r="E17" s="19"/>
      <c r="F17" s="19"/>
      <c r="G17" s="19"/>
      <c r="H17" s="19"/>
      <c r="I17" s="19"/>
      <c r="J17" s="20" t="s">
        <v>1533</v>
      </c>
      <c r="K17" s="21"/>
    </row>
    <row r="18" spans="1:11" ht="12" customHeight="1" thickBot="1">
      <c r="A18" s="12"/>
      <c r="B18" s="12"/>
      <c r="C18" s="12"/>
      <c r="D18" s="12"/>
      <c r="E18" s="12"/>
      <c r="F18" s="12"/>
      <c r="G18" s="12"/>
      <c r="H18" s="12"/>
      <c r="I18" s="12"/>
      <c r="J18" s="12"/>
      <c r="K18" s="12"/>
    </row>
    <row r="19" spans="1:11" ht="15.6">
      <c r="A19" s="16" t="s">
        <v>520</v>
      </c>
      <c r="B19" s="191"/>
      <c r="C19" s="191"/>
      <c r="D19" s="191"/>
      <c r="E19" s="191"/>
      <c r="F19" s="195"/>
      <c r="G19" s="195"/>
      <c r="H19" s="195"/>
      <c r="I19" s="201"/>
      <c r="J19" s="191"/>
      <c r="K19" s="189"/>
    </row>
    <row r="20" spans="1:11" ht="45" customHeight="1">
      <c r="A20" s="17" t="s">
        <v>421</v>
      </c>
      <c r="B20" s="192"/>
      <c r="C20" s="192"/>
      <c r="D20" s="192"/>
      <c r="E20" s="192"/>
      <c r="F20" s="196"/>
      <c r="G20" s="196"/>
      <c r="H20" s="196"/>
      <c r="I20" s="202"/>
      <c r="J20" s="192"/>
      <c r="K20" s="190"/>
    </row>
    <row r="21" spans="1:11" ht="29.45" thickBot="1">
      <c r="A21" s="18" t="s">
        <v>1530</v>
      </c>
      <c r="B21" s="19"/>
      <c r="C21" s="19"/>
      <c r="D21" s="19"/>
      <c r="E21" s="19"/>
      <c r="F21" s="19"/>
      <c r="G21" s="19"/>
      <c r="H21" s="19"/>
      <c r="I21" s="19"/>
      <c r="J21" s="20" t="s">
        <v>1534</v>
      </c>
      <c r="K21" s="22"/>
    </row>
    <row r="22" spans="1:11" s="12" customFormat="1" ht="12" customHeight="1" thickBot="1">
      <c r="A22" s="23"/>
      <c r="J22" s="24"/>
    </row>
    <row r="23" spans="1:11" s="12" customFormat="1" ht="15.75" customHeight="1">
      <c r="A23" s="25" t="s">
        <v>1535</v>
      </c>
      <c r="B23" s="26"/>
      <c r="C23" s="26"/>
      <c r="D23" s="26"/>
      <c r="E23" s="26"/>
      <c r="F23" s="26"/>
      <c r="G23" s="26"/>
      <c r="H23" s="26"/>
      <c r="I23" s="26"/>
      <c r="J23" s="27"/>
      <c r="K23" s="28"/>
    </row>
    <row r="24" spans="1:11" s="35" customFormat="1" ht="15.75" customHeight="1">
      <c r="A24" s="29" t="s">
        <v>1536</v>
      </c>
      <c r="B24" s="30"/>
      <c r="C24" s="31" t="s">
        <v>1537</v>
      </c>
      <c r="D24" s="30"/>
      <c r="E24" s="31" t="s">
        <v>1538</v>
      </c>
      <c r="F24" s="30"/>
      <c r="G24" s="31" t="s">
        <v>1539</v>
      </c>
      <c r="H24" s="32"/>
      <c r="I24" s="33"/>
      <c r="J24" s="33"/>
      <c r="K24" s="34"/>
    </row>
    <row r="25" spans="1:11" s="35" customFormat="1" ht="21" customHeight="1" thickBot="1">
      <c r="A25" s="36"/>
      <c r="B25" s="37"/>
      <c r="C25" s="38"/>
      <c r="D25" s="39"/>
      <c r="E25" s="40"/>
      <c r="F25" s="39"/>
      <c r="G25" s="38"/>
      <c r="H25" s="146"/>
      <c r="I25" s="41"/>
      <c r="J25" s="146"/>
      <c r="K25" s="147"/>
    </row>
    <row r="26" spans="1:11" s="35" customFormat="1" ht="15.75" customHeight="1">
      <c r="A26" s="42"/>
      <c r="B26" s="43"/>
      <c r="C26" s="42"/>
      <c r="D26" s="144"/>
      <c r="E26" s="44"/>
      <c r="F26" s="144"/>
      <c r="G26" s="42"/>
      <c r="H26" s="144"/>
      <c r="I26" s="43"/>
      <c r="J26" s="144"/>
      <c r="K26" s="144"/>
    </row>
    <row r="27" spans="1:11" ht="15.6">
      <c r="A27" s="45"/>
    </row>
    <row r="28" spans="1:11" ht="15.6">
      <c r="A28" s="46" t="s">
        <v>1540</v>
      </c>
      <c r="B28" s="47"/>
      <c r="C28" s="47"/>
      <c r="D28" s="47"/>
      <c r="E28" s="47"/>
      <c r="F28" s="47"/>
      <c r="G28" s="47"/>
      <c r="H28" s="47"/>
      <c r="I28" s="47"/>
      <c r="J28" s="47"/>
      <c r="K28" s="47"/>
    </row>
    <row r="29" spans="1:11" ht="15.6">
      <c r="A29" s="45"/>
    </row>
    <row r="30" spans="1:11" ht="15.6">
      <c r="A30" s="48"/>
      <c r="B30" s="47"/>
      <c r="C30" s="47"/>
      <c r="D30" s="47"/>
      <c r="E30" s="47"/>
      <c r="F30" s="47"/>
      <c r="G30" s="47"/>
      <c r="H30" s="47"/>
      <c r="I30" s="47"/>
      <c r="J30" s="47"/>
      <c r="K30" s="47"/>
    </row>
    <row r="31" spans="1:11">
      <c r="A31" s="49"/>
      <c r="B31" s="35"/>
      <c r="C31" s="35"/>
      <c r="D31" s="35"/>
      <c r="E31" s="35"/>
      <c r="F31" s="35"/>
      <c r="G31" s="35"/>
      <c r="H31" s="35"/>
      <c r="I31" s="35"/>
      <c r="J31" s="35"/>
    </row>
    <row r="32" spans="1:11" ht="15.75" customHeight="1">
      <c r="A32" s="43" t="s">
        <v>1541</v>
      </c>
      <c r="B32" s="43"/>
      <c r="C32" s="43"/>
      <c r="D32" s="43"/>
      <c r="E32" s="43"/>
      <c r="F32" s="43"/>
      <c r="G32" s="43"/>
      <c r="H32" s="43"/>
      <c r="I32" s="43"/>
      <c r="J32" s="43"/>
      <c r="K32" s="50"/>
    </row>
    <row r="33" spans="1:11" ht="15.75" customHeight="1">
      <c r="A33" s="43" t="s">
        <v>1542</v>
      </c>
      <c r="B33" s="43"/>
      <c r="C33" s="43"/>
      <c r="D33" s="43"/>
      <c r="E33" s="43"/>
      <c r="F33" s="43"/>
      <c r="G33" s="43"/>
      <c r="H33" s="43"/>
      <c r="I33" s="43"/>
      <c r="J33" s="43"/>
      <c r="K33" s="50"/>
    </row>
    <row r="34" spans="1:11" ht="15.75" customHeight="1">
      <c r="A34" s="51" t="s">
        <v>1543</v>
      </c>
      <c r="B34" s="51"/>
      <c r="C34" s="51"/>
      <c r="D34" s="51"/>
      <c r="E34" s="51"/>
      <c r="F34" s="51"/>
      <c r="G34" s="51"/>
      <c r="H34" s="51"/>
      <c r="I34" s="51"/>
      <c r="J34" s="52"/>
      <c r="K34" s="53"/>
    </row>
    <row r="35" spans="1:11" ht="15.75" customHeight="1">
      <c r="A35" s="43" t="s">
        <v>1544</v>
      </c>
      <c r="B35" s="43"/>
      <c r="C35" s="43"/>
      <c r="D35" s="43"/>
      <c r="E35" s="43"/>
      <c r="F35" s="43"/>
      <c r="G35" s="43"/>
      <c r="H35" s="43"/>
      <c r="I35" s="43"/>
      <c r="J35" s="43"/>
      <c r="K35" s="50"/>
    </row>
    <row r="36" spans="1:11" ht="18" customHeight="1">
      <c r="A36" s="43" t="s">
        <v>1545</v>
      </c>
      <c r="B36" s="43"/>
      <c r="C36" s="43"/>
      <c r="D36" s="43"/>
      <c r="E36" s="43"/>
      <c r="F36" s="43"/>
      <c r="G36" s="43"/>
      <c r="H36" s="43"/>
      <c r="I36" s="43"/>
      <c r="J36" s="35"/>
      <c r="K36" s="54"/>
    </row>
    <row r="37" spans="1:11" ht="24" customHeight="1">
      <c r="K37" s="55" t="s">
        <v>1546</v>
      </c>
    </row>
    <row r="38" spans="1:11" ht="24" customHeight="1">
      <c r="A38" s="56" t="s">
        <v>1547</v>
      </c>
      <c r="K38" s="55" t="s">
        <v>1548</v>
      </c>
    </row>
    <row r="39" spans="1:11" ht="24" customHeight="1">
      <c r="A39" s="57" t="s">
        <v>1549</v>
      </c>
      <c r="K39" s="55" t="s">
        <v>1550</v>
      </c>
    </row>
    <row r="40" spans="1:11" s="58" customFormat="1" ht="20.100000000000001" customHeight="1">
      <c r="A40" s="145" t="s">
        <v>1551</v>
      </c>
      <c r="B40" s="145" t="s">
        <v>1552</v>
      </c>
      <c r="C40" s="145" t="s">
        <v>1553</v>
      </c>
      <c r="D40" s="203" t="s">
        <v>1554</v>
      </c>
      <c r="E40" s="204"/>
      <c r="F40" s="203" t="s">
        <v>1555</v>
      </c>
      <c r="G40" s="204"/>
      <c r="H40" s="203" t="s">
        <v>1556</v>
      </c>
      <c r="I40" s="204"/>
      <c r="J40" s="203" t="s">
        <v>1557</v>
      </c>
      <c r="K40" s="204"/>
    </row>
    <row r="41" spans="1:11" ht="20.100000000000001" customHeight="1">
      <c r="A41" s="59">
        <v>1</v>
      </c>
      <c r="B41" s="60"/>
      <c r="C41" s="60"/>
      <c r="D41" s="197"/>
      <c r="E41" s="198"/>
      <c r="F41" s="197"/>
      <c r="G41" s="198"/>
      <c r="H41" s="197"/>
      <c r="I41" s="198"/>
      <c r="J41" s="197"/>
      <c r="K41" s="198"/>
    </row>
    <row r="42" spans="1:11" ht="20.100000000000001" customHeight="1">
      <c r="A42" s="61">
        <v>2</v>
      </c>
      <c r="B42" s="62"/>
      <c r="C42" s="62"/>
      <c r="D42" s="199"/>
      <c r="E42" s="200"/>
      <c r="F42" s="199"/>
      <c r="G42" s="200"/>
      <c r="H42" s="199"/>
      <c r="I42" s="200"/>
      <c r="J42" s="199"/>
      <c r="K42" s="200"/>
    </row>
    <row r="43" spans="1:11" ht="20.100000000000001" customHeight="1">
      <c r="A43" s="59">
        <v>3</v>
      </c>
      <c r="B43" s="62"/>
      <c r="C43" s="62"/>
      <c r="D43" s="199"/>
      <c r="E43" s="200"/>
      <c r="F43" s="199"/>
      <c r="G43" s="200"/>
      <c r="H43" s="199"/>
      <c r="I43" s="200"/>
      <c r="J43" s="199"/>
      <c r="K43" s="200"/>
    </row>
    <row r="44" spans="1:11" ht="20.100000000000001" customHeight="1">
      <c r="A44" s="61">
        <v>4</v>
      </c>
      <c r="B44" s="62"/>
      <c r="C44" s="62"/>
      <c r="D44" s="199"/>
      <c r="E44" s="200"/>
      <c r="F44" s="199"/>
      <c r="G44" s="200"/>
      <c r="H44" s="199"/>
      <c r="I44" s="200"/>
      <c r="J44" s="199"/>
      <c r="K44" s="200"/>
    </row>
    <row r="45" spans="1:11" ht="20.100000000000001" customHeight="1">
      <c r="A45" s="59">
        <v>5</v>
      </c>
      <c r="B45" s="62"/>
      <c r="C45" s="62"/>
      <c r="D45" s="199"/>
      <c r="E45" s="200"/>
      <c r="F45" s="199"/>
      <c r="G45" s="200"/>
      <c r="H45" s="199"/>
      <c r="I45" s="200"/>
      <c r="J45" s="199"/>
      <c r="K45" s="200"/>
    </row>
    <row r="46" spans="1:11" ht="20.100000000000001" customHeight="1">
      <c r="A46" s="61">
        <v>6</v>
      </c>
      <c r="B46" s="62"/>
      <c r="C46" s="62"/>
      <c r="D46" s="199"/>
      <c r="E46" s="200"/>
      <c r="F46" s="199"/>
      <c r="G46" s="200"/>
      <c r="H46" s="199"/>
      <c r="I46" s="200"/>
      <c r="J46" s="199"/>
      <c r="K46" s="200"/>
    </row>
    <row r="47" spans="1:11" ht="20.100000000000001" customHeight="1">
      <c r="A47" s="59">
        <v>7</v>
      </c>
      <c r="B47" s="62"/>
      <c r="C47" s="62"/>
      <c r="D47" s="199"/>
      <c r="E47" s="200"/>
      <c r="F47" s="199"/>
      <c r="G47" s="200"/>
      <c r="H47" s="199"/>
      <c r="I47" s="200"/>
      <c r="J47" s="199"/>
      <c r="K47" s="200"/>
    </row>
    <row r="48" spans="1:11" ht="20.100000000000001" customHeight="1">
      <c r="A48" s="61">
        <v>8</v>
      </c>
      <c r="B48" s="62"/>
      <c r="C48" s="62"/>
      <c r="D48" s="199"/>
      <c r="E48" s="200"/>
      <c r="F48" s="199"/>
      <c r="G48" s="200"/>
      <c r="H48" s="199"/>
      <c r="I48" s="200"/>
      <c r="J48" s="199"/>
      <c r="K48" s="200"/>
    </row>
    <row r="49" spans="1:11" ht="20.100000000000001" customHeight="1">
      <c r="A49" s="59">
        <v>9</v>
      </c>
      <c r="B49" s="62"/>
      <c r="C49" s="62"/>
      <c r="D49" s="199"/>
      <c r="E49" s="200"/>
      <c r="F49" s="199"/>
      <c r="G49" s="200"/>
      <c r="H49" s="199"/>
      <c r="I49" s="200"/>
      <c r="J49" s="199"/>
      <c r="K49" s="200"/>
    </row>
    <row r="50" spans="1:11" ht="20.100000000000001" customHeight="1">
      <c r="A50" s="61">
        <v>10</v>
      </c>
      <c r="B50" s="62"/>
      <c r="C50" s="62"/>
      <c r="D50" s="199"/>
      <c r="E50" s="200"/>
      <c r="F50" s="199"/>
      <c r="G50" s="200"/>
      <c r="H50" s="199"/>
      <c r="I50" s="200"/>
      <c r="J50" s="199"/>
      <c r="K50" s="200"/>
    </row>
    <row r="51" spans="1:11" ht="20.100000000000001" customHeight="1">
      <c r="A51" s="59">
        <v>11</v>
      </c>
      <c r="B51" s="62"/>
      <c r="C51" s="62"/>
      <c r="D51" s="199"/>
      <c r="E51" s="200"/>
      <c r="F51" s="199"/>
      <c r="G51" s="200"/>
      <c r="H51" s="199"/>
      <c r="I51" s="200"/>
      <c r="J51" s="199"/>
      <c r="K51" s="200"/>
    </row>
    <row r="52" spans="1:11" ht="20.100000000000001" customHeight="1">
      <c r="A52" s="61">
        <v>12</v>
      </c>
      <c r="B52" s="62"/>
      <c r="C52" s="62"/>
      <c r="D52" s="199"/>
      <c r="E52" s="200"/>
      <c r="F52" s="199"/>
      <c r="G52" s="200"/>
      <c r="H52" s="199"/>
      <c r="I52" s="200"/>
      <c r="J52" s="199"/>
      <c r="K52" s="200"/>
    </row>
    <row r="53" spans="1:11" ht="20.100000000000001" customHeight="1">
      <c r="A53" s="59">
        <v>13</v>
      </c>
      <c r="B53" s="62"/>
      <c r="C53" s="62"/>
      <c r="D53" s="199"/>
      <c r="E53" s="200"/>
      <c r="F53" s="199"/>
      <c r="G53" s="200"/>
      <c r="H53" s="199"/>
      <c r="I53" s="200"/>
      <c r="J53" s="199"/>
      <c r="K53" s="200"/>
    </row>
    <row r="54" spans="1:11" ht="20.100000000000001" customHeight="1">
      <c r="A54" s="61">
        <v>14</v>
      </c>
      <c r="B54" s="62"/>
      <c r="C54" s="62"/>
      <c r="D54" s="199"/>
      <c r="E54" s="200"/>
      <c r="F54" s="199"/>
      <c r="G54" s="200"/>
      <c r="H54" s="199"/>
      <c r="I54" s="200"/>
      <c r="J54" s="199"/>
      <c r="K54" s="200"/>
    </row>
    <row r="55" spans="1:11" ht="20.100000000000001" customHeight="1">
      <c r="A55" s="59">
        <v>15</v>
      </c>
      <c r="B55" s="62"/>
      <c r="C55" s="62"/>
      <c r="D55" s="199"/>
      <c r="E55" s="200"/>
      <c r="F55" s="199"/>
      <c r="G55" s="200"/>
      <c r="H55" s="199"/>
      <c r="I55" s="200"/>
      <c r="J55" s="199"/>
      <c r="K55" s="200"/>
    </row>
    <row r="56" spans="1:11" ht="20.100000000000001" customHeight="1">
      <c r="A56" s="61">
        <v>16</v>
      </c>
      <c r="B56" s="62"/>
      <c r="C56" s="62"/>
      <c r="D56" s="199"/>
      <c r="E56" s="200"/>
      <c r="F56" s="199"/>
      <c r="G56" s="200"/>
      <c r="H56" s="199"/>
      <c r="I56" s="200"/>
      <c r="J56" s="199"/>
      <c r="K56" s="200"/>
    </row>
    <row r="57" spans="1:11" ht="20.100000000000001" customHeight="1">
      <c r="A57" s="59">
        <v>17</v>
      </c>
      <c r="B57" s="62"/>
      <c r="C57" s="62"/>
      <c r="D57" s="199"/>
      <c r="E57" s="200"/>
      <c r="F57" s="199"/>
      <c r="G57" s="200"/>
      <c r="H57" s="199"/>
      <c r="I57" s="200"/>
      <c r="J57" s="199"/>
      <c r="K57" s="200"/>
    </row>
    <row r="58" spans="1:11" ht="20.100000000000001" customHeight="1">
      <c r="A58" s="61">
        <v>18</v>
      </c>
      <c r="B58" s="62"/>
      <c r="C58" s="62"/>
      <c r="D58" s="199"/>
      <c r="E58" s="200"/>
      <c r="F58" s="199"/>
      <c r="G58" s="200"/>
      <c r="H58" s="199"/>
      <c r="I58" s="200"/>
      <c r="J58" s="199"/>
      <c r="K58" s="200"/>
    </row>
    <row r="59" spans="1:11" ht="20.100000000000001" customHeight="1">
      <c r="A59" s="59">
        <v>19</v>
      </c>
      <c r="B59" s="62"/>
      <c r="C59" s="62"/>
      <c r="D59" s="199"/>
      <c r="E59" s="200"/>
      <c r="F59" s="199"/>
      <c r="G59" s="200"/>
      <c r="H59" s="199"/>
      <c r="I59" s="200"/>
      <c r="J59" s="199"/>
      <c r="K59" s="200"/>
    </row>
    <row r="60" spans="1:11" ht="20.100000000000001" customHeight="1">
      <c r="A60" s="61">
        <v>20</v>
      </c>
      <c r="B60" s="62"/>
      <c r="C60" s="62"/>
      <c r="D60" s="199"/>
      <c r="E60" s="200"/>
      <c r="F60" s="199"/>
      <c r="G60" s="200"/>
      <c r="H60" s="199"/>
      <c r="I60" s="200"/>
      <c r="J60" s="199"/>
      <c r="K60" s="200"/>
    </row>
    <row r="61" spans="1:11" ht="20.100000000000001" customHeight="1">
      <c r="A61" s="59">
        <v>21</v>
      </c>
      <c r="B61" s="62"/>
      <c r="C61" s="62"/>
      <c r="D61" s="199"/>
      <c r="E61" s="200"/>
      <c r="F61" s="199"/>
      <c r="G61" s="200"/>
      <c r="H61" s="199"/>
      <c r="I61" s="200"/>
      <c r="J61" s="199"/>
      <c r="K61" s="200"/>
    </row>
    <row r="62" spans="1:11" ht="20.100000000000001" customHeight="1">
      <c r="A62" s="61">
        <v>22</v>
      </c>
      <c r="B62" s="62"/>
      <c r="C62" s="62"/>
      <c r="D62" s="199"/>
      <c r="E62" s="200"/>
      <c r="F62" s="199"/>
      <c r="G62" s="200"/>
      <c r="H62" s="199"/>
      <c r="I62" s="200"/>
      <c r="J62" s="199"/>
      <c r="K62" s="200"/>
    </row>
    <row r="63" spans="1:11" ht="20.100000000000001" customHeight="1">
      <c r="A63" s="59">
        <v>23</v>
      </c>
      <c r="B63" s="62"/>
      <c r="C63" s="62"/>
      <c r="D63" s="199"/>
      <c r="E63" s="200"/>
      <c r="F63" s="199"/>
      <c r="G63" s="200"/>
      <c r="H63" s="199"/>
      <c r="I63" s="200"/>
      <c r="J63" s="199"/>
      <c r="K63" s="200"/>
    </row>
    <row r="64" spans="1:11" ht="20.100000000000001" customHeight="1">
      <c r="A64" s="61">
        <v>24</v>
      </c>
      <c r="B64" s="62"/>
      <c r="C64" s="62"/>
      <c r="D64" s="199"/>
      <c r="E64" s="200"/>
      <c r="F64" s="199"/>
      <c r="G64" s="200"/>
      <c r="H64" s="199"/>
      <c r="I64" s="200"/>
      <c r="J64" s="199"/>
      <c r="K64" s="200"/>
    </row>
    <row r="65" spans="1:11" ht="20.100000000000001" customHeight="1">
      <c r="A65" s="59">
        <v>25</v>
      </c>
      <c r="B65" s="62"/>
      <c r="C65" s="62"/>
      <c r="D65" s="199"/>
      <c r="E65" s="200"/>
      <c r="F65" s="199"/>
      <c r="G65" s="200"/>
      <c r="H65" s="199"/>
      <c r="I65" s="200"/>
      <c r="J65" s="199"/>
      <c r="K65" s="200"/>
    </row>
    <row r="66" spans="1:11" ht="20.100000000000001" customHeight="1">
      <c r="A66" s="61">
        <v>26</v>
      </c>
      <c r="B66" s="62"/>
      <c r="C66" s="62"/>
      <c r="D66" s="199"/>
      <c r="E66" s="200"/>
      <c r="F66" s="199"/>
      <c r="G66" s="200"/>
      <c r="H66" s="199"/>
      <c r="I66" s="200"/>
      <c r="J66" s="199"/>
      <c r="K66" s="200"/>
    </row>
    <row r="67" spans="1:11" ht="20.100000000000001" customHeight="1">
      <c r="A67" s="59">
        <v>27</v>
      </c>
      <c r="B67" s="62"/>
      <c r="C67" s="62"/>
      <c r="D67" s="199"/>
      <c r="E67" s="200"/>
      <c r="F67" s="199"/>
      <c r="G67" s="200"/>
      <c r="H67" s="199"/>
      <c r="I67" s="200"/>
      <c r="J67" s="199"/>
      <c r="K67" s="200"/>
    </row>
    <row r="68" spans="1:11" ht="20.100000000000001" customHeight="1">
      <c r="A68" s="61">
        <v>28</v>
      </c>
      <c r="B68" s="62"/>
      <c r="C68" s="62"/>
      <c r="D68" s="199"/>
      <c r="E68" s="200"/>
      <c r="F68" s="199"/>
      <c r="G68" s="200"/>
      <c r="H68" s="199"/>
      <c r="I68" s="200"/>
      <c r="J68" s="199"/>
      <c r="K68" s="200"/>
    </row>
    <row r="69" spans="1:11" ht="20.100000000000001" customHeight="1">
      <c r="A69" s="59">
        <v>29</v>
      </c>
      <c r="B69" s="63"/>
      <c r="C69" s="63"/>
      <c r="D69" s="199"/>
      <c r="E69" s="200"/>
      <c r="F69" s="199"/>
      <c r="G69" s="200"/>
      <c r="H69" s="199"/>
      <c r="I69" s="200"/>
      <c r="J69" s="199"/>
      <c r="K69" s="200"/>
    </row>
    <row r="70" spans="1:11" ht="20.100000000000001" customHeight="1">
      <c r="A70" s="61">
        <v>30</v>
      </c>
      <c r="B70" s="63"/>
      <c r="C70" s="63"/>
      <c r="D70" s="199"/>
      <c r="E70" s="200"/>
      <c r="F70" s="199"/>
      <c r="G70" s="200"/>
      <c r="H70" s="199"/>
      <c r="I70" s="200"/>
      <c r="J70" s="199"/>
      <c r="K70" s="200"/>
    </row>
    <row r="71" spans="1:11" ht="20.100000000000001" customHeight="1">
      <c r="A71" s="59">
        <v>31</v>
      </c>
      <c r="B71" s="63"/>
      <c r="C71" s="63"/>
      <c r="D71" s="199"/>
      <c r="E71" s="200"/>
      <c r="F71" s="199"/>
      <c r="G71" s="200"/>
      <c r="H71" s="199"/>
      <c r="I71" s="200"/>
      <c r="J71" s="199"/>
      <c r="K71" s="200"/>
    </row>
    <row r="72" spans="1:11" ht="20.100000000000001" customHeight="1">
      <c r="A72" s="61">
        <v>32</v>
      </c>
      <c r="B72" s="63"/>
      <c r="C72" s="63"/>
      <c r="D72" s="199"/>
      <c r="E72" s="200"/>
      <c r="F72" s="199"/>
      <c r="G72" s="200"/>
      <c r="H72" s="199"/>
      <c r="I72" s="200"/>
      <c r="J72" s="199"/>
      <c r="K72" s="200"/>
    </row>
    <row r="73" spans="1:11" ht="20.100000000000001" customHeight="1">
      <c r="A73" s="59">
        <v>33</v>
      </c>
      <c r="B73" s="63"/>
      <c r="C73" s="63"/>
      <c r="D73" s="199"/>
      <c r="E73" s="200"/>
      <c r="F73" s="199"/>
      <c r="G73" s="200"/>
      <c r="H73" s="199"/>
      <c r="I73" s="200"/>
      <c r="J73" s="199"/>
      <c r="K73" s="200"/>
    </row>
    <row r="74" spans="1:11" ht="20.100000000000001" customHeight="1">
      <c r="A74" s="61">
        <v>34</v>
      </c>
      <c r="B74" s="63"/>
      <c r="C74" s="63"/>
      <c r="D74" s="199"/>
      <c r="E74" s="200"/>
      <c r="F74" s="199"/>
      <c r="G74" s="200"/>
      <c r="H74" s="199"/>
      <c r="I74" s="200"/>
      <c r="J74" s="199"/>
      <c r="K74" s="200"/>
    </row>
    <row r="75" spans="1:11" ht="20.100000000000001" customHeight="1">
      <c r="A75" s="59">
        <v>35</v>
      </c>
      <c r="B75" s="63"/>
      <c r="C75" s="63"/>
      <c r="D75" s="199"/>
      <c r="E75" s="200"/>
      <c r="F75" s="199"/>
      <c r="G75" s="200"/>
      <c r="H75" s="199"/>
      <c r="I75" s="200"/>
      <c r="J75" s="199"/>
      <c r="K75" s="200"/>
    </row>
    <row r="76" spans="1:11" ht="20.100000000000001" customHeight="1">
      <c r="A76" s="61">
        <v>36</v>
      </c>
      <c r="B76" s="63"/>
      <c r="C76" s="63"/>
      <c r="D76" s="199"/>
      <c r="E76" s="200"/>
      <c r="F76" s="199"/>
      <c r="G76" s="200"/>
      <c r="H76" s="199"/>
      <c r="I76" s="200"/>
      <c r="J76" s="199"/>
      <c r="K76" s="200"/>
    </row>
    <row r="77" spans="1:11" ht="20.100000000000001" customHeight="1">
      <c r="A77" s="59">
        <v>37</v>
      </c>
      <c r="B77" s="63"/>
      <c r="C77" s="63"/>
      <c r="D77" s="199"/>
      <c r="E77" s="200"/>
      <c r="F77" s="199"/>
      <c r="G77" s="200"/>
      <c r="H77" s="199"/>
      <c r="I77" s="200"/>
      <c r="J77" s="199"/>
      <c r="K77" s="200"/>
    </row>
    <row r="78" spans="1:11" ht="20.100000000000001" customHeight="1">
      <c r="A78" s="61">
        <v>38</v>
      </c>
      <c r="B78" s="63"/>
      <c r="C78" s="63"/>
      <c r="D78" s="199"/>
      <c r="E78" s="200"/>
      <c r="F78" s="199"/>
      <c r="G78" s="200"/>
      <c r="H78" s="199"/>
      <c r="I78" s="200"/>
      <c r="J78" s="199"/>
      <c r="K78" s="200"/>
    </row>
    <row r="79" spans="1:11" ht="20.100000000000001" customHeight="1">
      <c r="A79" s="59">
        <v>39</v>
      </c>
      <c r="B79" s="63"/>
      <c r="C79" s="63"/>
      <c r="D79" s="199"/>
      <c r="E79" s="200"/>
      <c r="F79" s="199"/>
      <c r="G79" s="200"/>
      <c r="H79" s="199"/>
      <c r="I79" s="200"/>
      <c r="J79" s="199"/>
      <c r="K79" s="200"/>
    </row>
    <row r="80" spans="1:11" ht="20.100000000000001" customHeight="1">
      <c r="A80" s="61">
        <v>40</v>
      </c>
      <c r="B80" s="63"/>
      <c r="C80" s="63"/>
      <c r="D80" s="199"/>
      <c r="E80" s="200"/>
      <c r="F80" s="199"/>
      <c r="G80" s="200"/>
      <c r="H80" s="199"/>
      <c r="I80" s="200"/>
      <c r="J80" s="199"/>
      <c r="K80" s="200"/>
    </row>
    <row r="81" spans="1:11" ht="20.100000000000001" customHeight="1">
      <c r="A81" s="12"/>
      <c r="B81" s="12"/>
      <c r="C81" s="12"/>
      <c r="D81" s="205"/>
      <c r="E81" s="206"/>
      <c r="F81" s="205"/>
      <c r="G81" s="206"/>
      <c r="H81" s="205"/>
      <c r="I81" s="206"/>
      <c r="J81" s="205"/>
      <c r="K81" s="206"/>
    </row>
    <row r="82" spans="1:11" ht="20.100000000000001" customHeight="1">
      <c r="A82" s="12"/>
      <c r="B82" s="12"/>
      <c r="C82" s="12"/>
      <c r="D82" s="205"/>
      <c r="E82" s="206"/>
      <c r="F82" s="205"/>
      <c r="G82" s="206"/>
      <c r="H82" s="205"/>
      <c r="I82" s="206"/>
      <c r="J82" s="205"/>
      <c r="K82" s="206"/>
    </row>
    <row r="83" spans="1:11" ht="20.100000000000001" customHeight="1">
      <c r="A83" s="12"/>
      <c r="B83" s="12"/>
      <c r="C83" s="12"/>
      <c r="D83" s="205"/>
      <c r="E83" s="206"/>
      <c r="F83" s="205"/>
      <c r="G83" s="206"/>
      <c r="H83" s="205"/>
      <c r="I83" s="206"/>
      <c r="J83" s="205"/>
      <c r="K83" s="206"/>
    </row>
    <row r="84" spans="1:11" ht="20.100000000000001" customHeight="1">
      <c r="A84" s="12"/>
      <c r="B84" s="12"/>
      <c r="C84" s="12"/>
      <c r="D84" s="205"/>
      <c r="E84" s="206"/>
      <c r="F84" s="205"/>
      <c r="G84" s="206"/>
      <c r="H84" s="205"/>
      <c r="I84" s="206"/>
      <c r="J84" s="205"/>
      <c r="K84" s="206"/>
    </row>
    <row r="85" spans="1:11" ht="20.100000000000001" customHeight="1">
      <c r="A85" s="12"/>
      <c r="B85" s="12"/>
      <c r="C85" s="12"/>
      <c r="D85" s="205"/>
      <c r="E85" s="206"/>
      <c r="F85" s="205"/>
      <c r="G85" s="206"/>
      <c r="H85" s="205"/>
      <c r="I85" s="206"/>
      <c r="J85" s="205"/>
      <c r="K85" s="206"/>
    </row>
    <row r="86" spans="1:11" ht="18" customHeight="1">
      <c r="A86" s="12"/>
      <c r="B86" s="12"/>
      <c r="C86" s="12"/>
      <c r="D86" s="205"/>
      <c r="E86" s="206"/>
      <c r="F86" s="205"/>
      <c r="G86" s="206"/>
      <c r="H86" s="205"/>
      <c r="I86" s="206"/>
      <c r="J86" s="205"/>
      <c r="K86" s="206"/>
    </row>
    <row r="87" spans="1:11" ht="18" customHeight="1"/>
    <row r="88" spans="1:11" ht="18" customHeight="1"/>
    <row r="89" spans="1:11" ht="18" customHeight="1"/>
    <row r="90" spans="1:11" ht="18" customHeight="1"/>
    <row r="91" spans="1:11" ht="18" customHeight="1"/>
  </sheetData>
  <mergeCells count="228">
    <mergeCell ref="D85:E85"/>
    <mergeCell ref="F85:G85"/>
    <mergeCell ref="H85:I85"/>
    <mergeCell ref="J85:K85"/>
    <mergeCell ref="D86:E86"/>
    <mergeCell ref="F86:G86"/>
    <mergeCell ref="H86:I86"/>
    <mergeCell ref="J86:K86"/>
    <mergeCell ref="D83:E83"/>
    <mergeCell ref="F83:G83"/>
    <mergeCell ref="H83:I83"/>
    <mergeCell ref="J83:K83"/>
    <mergeCell ref="D84:E84"/>
    <mergeCell ref="F84:G84"/>
    <mergeCell ref="H84:I84"/>
    <mergeCell ref="J84:K84"/>
    <mergeCell ref="D81:E81"/>
    <mergeCell ref="F81:G81"/>
    <mergeCell ref="H81:I81"/>
    <mergeCell ref="J81:K81"/>
    <mergeCell ref="D82:E82"/>
    <mergeCell ref="F82:G82"/>
    <mergeCell ref="H82:I82"/>
    <mergeCell ref="J82:K82"/>
    <mergeCell ref="D79:E79"/>
    <mergeCell ref="F79:G79"/>
    <mergeCell ref="H79:I79"/>
    <mergeCell ref="J79:K79"/>
    <mergeCell ref="D80:E80"/>
    <mergeCell ref="F80:G80"/>
    <mergeCell ref="H80:I80"/>
    <mergeCell ref="J80:K80"/>
    <mergeCell ref="D77:E77"/>
    <mergeCell ref="F77:G77"/>
    <mergeCell ref="H77:I77"/>
    <mergeCell ref="J77:K77"/>
    <mergeCell ref="D78:E78"/>
    <mergeCell ref="F78:G78"/>
    <mergeCell ref="H78:I78"/>
    <mergeCell ref="J78:K78"/>
    <mergeCell ref="D75:E75"/>
    <mergeCell ref="F75:G75"/>
    <mergeCell ref="H75:I75"/>
    <mergeCell ref="J75:K75"/>
    <mergeCell ref="D76:E76"/>
    <mergeCell ref="F76:G76"/>
    <mergeCell ref="H76:I76"/>
    <mergeCell ref="J76:K76"/>
    <mergeCell ref="D73:E73"/>
    <mergeCell ref="F73:G73"/>
    <mergeCell ref="H73:I73"/>
    <mergeCell ref="J73:K73"/>
    <mergeCell ref="D74:E74"/>
    <mergeCell ref="F74:G74"/>
    <mergeCell ref="H74:I74"/>
    <mergeCell ref="J74:K74"/>
    <mergeCell ref="D71:E71"/>
    <mergeCell ref="F71:G71"/>
    <mergeCell ref="H71:I71"/>
    <mergeCell ref="J71:K71"/>
    <mergeCell ref="D72:E72"/>
    <mergeCell ref="F72:G72"/>
    <mergeCell ref="H72:I72"/>
    <mergeCell ref="J72:K72"/>
    <mergeCell ref="D69:E69"/>
    <mergeCell ref="F69:G69"/>
    <mergeCell ref="H69:I69"/>
    <mergeCell ref="J69:K69"/>
    <mergeCell ref="D70:E70"/>
    <mergeCell ref="F70:G70"/>
    <mergeCell ref="H70:I70"/>
    <mergeCell ref="J70:K70"/>
    <mergeCell ref="D67:E67"/>
    <mergeCell ref="F67:G67"/>
    <mergeCell ref="H67:I67"/>
    <mergeCell ref="J67:K67"/>
    <mergeCell ref="D68:E68"/>
    <mergeCell ref="F68:G68"/>
    <mergeCell ref="H68:I68"/>
    <mergeCell ref="J68:K68"/>
    <mergeCell ref="D65:E65"/>
    <mergeCell ref="F65:G65"/>
    <mergeCell ref="H65:I65"/>
    <mergeCell ref="J65:K65"/>
    <mergeCell ref="D66:E66"/>
    <mergeCell ref="F66:G66"/>
    <mergeCell ref="H66:I66"/>
    <mergeCell ref="J66:K66"/>
    <mergeCell ref="D63:E63"/>
    <mergeCell ref="F63:G63"/>
    <mergeCell ref="H63:I63"/>
    <mergeCell ref="J63:K63"/>
    <mergeCell ref="D64:E64"/>
    <mergeCell ref="F64:G64"/>
    <mergeCell ref="H64:I64"/>
    <mergeCell ref="J64:K64"/>
    <mergeCell ref="D61:E61"/>
    <mergeCell ref="F61:G61"/>
    <mergeCell ref="H61:I61"/>
    <mergeCell ref="J61:K61"/>
    <mergeCell ref="D62:E62"/>
    <mergeCell ref="F62:G62"/>
    <mergeCell ref="H62:I62"/>
    <mergeCell ref="J62:K62"/>
    <mergeCell ref="D59:E59"/>
    <mergeCell ref="F59:G59"/>
    <mergeCell ref="H59:I59"/>
    <mergeCell ref="J59:K59"/>
    <mergeCell ref="D60:E60"/>
    <mergeCell ref="F60:G60"/>
    <mergeCell ref="H60:I60"/>
    <mergeCell ref="J60:K60"/>
    <mergeCell ref="D57:E57"/>
    <mergeCell ref="F57:G57"/>
    <mergeCell ref="H57:I57"/>
    <mergeCell ref="J57:K57"/>
    <mergeCell ref="D58:E58"/>
    <mergeCell ref="F58:G58"/>
    <mergeCell ref="H58:I58"/>
    <mergeCell ref="J58:K58"/>
    <mergeCell ref="D55:E55"/>
    <mergeCell ref="F55:G55"/>
    <mergeCell ref="H55:I55"/>
    <mergeCell ref="J55:K55"/>
    <mergeCell ref="D56:E56"/>
    <mergeCell ref="F56:G56"/>
    <mergeCell ref="H56:I56"/>
    <mergeCell ref="J56:K56"/>
    <mergeCell ref="D53:E53"/>
    <mergeCell ref="F53:G53"/>
    <mergeCell ref="H53:I53"/>
    <mergeCell ref="J53:K53"/>
    <mergeCell ref="D54:E54"/>
    <mergeCell ref="F54:G54"/>
    <mergeCell ref="H54:I54"/>
    <mergeCell ref="J54:K54"/>
    <mergeCell ref="D51:E51"/>
    <mergeCell ref="F51:G51"/>
    <mergeCell ref="H51:I51"/>
    <mergeCell ref="J51:K51"/>
    <mergeCell ref="D52:E52"/>
    <mergeCell ref="F52:G52"/>
    <mergeCell ref="H52:I52"/>
    <mergeCell ref="J52:K52"/>
    <mergeCell ref="D49:E49"/>
    <mergeCell ref="F49:G49"/>
    <mergeCell ref="H49:I49"/>
    <mergeCell ref="J49:K49"/>
    <mergeCell ref="D50:E50"/>
    <mergeCell ref="F50:G50"/>
    <mergeCell ref="H50:I50"/>
    <mergeCell ref="J50:K50"/>
    <mergeCell ref="D47:E47"/>
    <mergeCell ref="F47:G47"/>
    <mergeCell ref="H47:I47"/>
    <mergeCell ref="J47:K47"/>
    <mergeCell ref="D48:E48"/>
    <mergeCell ref="F48:G48"/>
    <mergeCell ref="H48:I48"/>
    <mergeCell ref="J48:K48"/>
    <mergeCell ref="D45:E45"/>
    <mergeCell ref="F45:G45"/>
    <mergeCell ref="H45:I45"/>
    <mergeCell ref="J45:K45"/>
    <mergeCell ref="D46:E46"/>
    <mergeCell ref="F46:G46"/>
    <mergeCell ref="H46:I46"/>
    <mergeCell ref="J46:K46"/>
    <mergeCell ref="D43:E43"/>
    <mergeCell ref="F43:G43"/>
    <mergeCell ref="H43:I43"/>
    <mergeCell ref="J43:K43"/>
    <mergeCell ref="D44:E44"/>
    <mergeCell ref="F44:G44"/>
    <mergeCell ref="H44:I44"/>
    <mergeCell ref="J44:K44"/>
    <mergeCell ref="J41:K41"/>
    <mergeCell ref="D42:E42"/>
    <mergeCell ref="F42:G42"/>
    <mergeCell ref="H42:I42"/>
    <mergeCell ref="J42:K42"/>
    <mergeCell ref="H19:H20"/>
    <mergeCell ref="I19:I20"/>
    <mergeCell ref="J19:J20"/>
    <mergeCell ref="K19:K20"/>
    <mergeCell ref="D40:E40"/>
    <mergeCell ref="F40:G40"/>
    <mergeCell ref="H40:I40"/>
    <mergeCell ref="J40:K40"/>
    <mergeCell ref="B19:B20"/>
    <mergeCell ref="C19:C20"/>
    <mergeCell ref="D19:D20"/>
    <mergeCell ref="E19:E20"/>
    <mergeCell ref="F19:F20"/>
    <mergeCell ref="G19:G20"/>
    <mergeCell ref="D41:E41"/>
    <mergeCell ref="F41:G41"/>
    <mergeCell ref="H41:I41"/>
    <mergeCell ref="H11:H12"/>
    <mergeCell ref="I11:I12"/>
    <mergeCell ref="J11:J12"/>
    <mergeCell ref="K11:K12"/>
    <mergeCell ref="B15:B16"/>
    <mergeCell ref="C15:C16"/>
    <mergeCell ref="D15:D16"/>
    <mergeCell ref="E15:E16"/>
    <mergeCell ref="F15:F16"/>
    <mergeCell ref="G15:G16"/>
    <mergeCell ref="B11:B12"/>
    <mergeCell ref="C11:C12"/>
    <mergeCell ref="D11:D12"/>
    <mergeCell ref="E11:E12"/>
    <mergeCell ref="F11:F12"/>
    <mergeCell ref="G11:G12"/>
    <mergeCell ref="H15:H16"/>
    <mergeCell ref="I15:I16"/>
    <mergeCell ref="J15:J16"/>
    <mergeCell ref="K15:K16"/>
    <mergeCell ref="A6:B6"/>
    <mergeCell ref="C6:D6"/>
    <mergeCell ref="E6:F6"/>
    <mergeCell ref="G6:H6"/>
    <mergeCell ref="I6:K6"/>
    <mergeCell ref="A7:B7"/>
    <mergeCell ref="C7:D7"/>
    <mergeCell ref="E7:F7"/>
    <mergeCell ref="G7:H7"/>
    <mergeCell ref="I7:K7"/>
  </mergeCells>
  <pageMargins left="0.88" right="0.7" top="0.75" bottom="0.75" header="0.3" footer="0.3"/>
  <pageSetup scale="82" orientation="portrait" r:id="rId1"/>
  <rowBreaks count="1" manualBreakCount="1">
    <brk id="39" max="10" man="1"/>
  </rowBreaks>
  <colBreaks count="1" manualBreakCount="1">
    <brk id="1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election activeCell="A2" sqref="A2"/>
    </sheetView>
  </sheetViews>
  <sheetFormatPr defaultRowHeight="14.45"/>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61"/>
  <sheetViews>
    <sheetView zoomScale="55" zoomScaleNormal="55" workbookViewId="0">
      <selection activeCell="AG19" sqref="AG19"/>
    </sheetView>
  </sheetViews>
  <sheetFormatPr defaultColWidth="9.140625" defaultRowHeight="14.45"/>
  <cols>
    <col min="1" max="1" width="7.28515625" customWidth="1"/>
    <col min="2" max="2" width="8.7109375" customWidth="1"/>
    <col min="3" max="3" width="8.140625" customWidth="1"/>
    <col min="4" max="4" width="9.28515625" customWidth="1"/>
    <col min="5" max="5" width="11.28515625" customWidth="1"/>
    <col min="6" max="6" width="2.85546875" customWidth="1"/>
    <col min="7" max="8" width="8.7109375" customWidth="1"/>
    <col min="9" max="9" width="9.28515625" customWidth="1"/>
    <col min="10" max="10" width="11.5703125" customWidth="1"/>
    <col min="11" max="11" width="8.85546875" customWidth="1"/>
    <col min="12" max="12" width="2.85546875" customWidth="1"/>
    <col min="14" max="15" width="8.7109375" customWidth="1"/>
    <col min="16" max="16" width="20.5703125" customWidth="1"/>
    <col min="17" max="17" width="10.28515625" customWidth="1"/>
  </cols>
  <sheetData>
    <row r="1" ht="21.75" customHeight="1"/>
    <row r="2" ht="17.25" customHeight="1"/>
    <row r="3" ht="19.5" customHeight="1"/>
    <row r="4" ht="27.75" customHeight="1"/>
    <row r="5" ht="26.25" customHeight="1"/>
    <row r="7" ht="15" customHeight="1"/>
    <row r="8" ht="20.25" customHeight="1"/>
    <row r="9" ht="20.100000000000001" customHeight="1"/>
    <row r="10" ht="20.100000000000001" customHeight="1"/>
    <row r="11" ht="20.100000000000001" customHeight="1"/>
    <row r="12" ht="20.100000000000001" customHeight="1"/>
    <row r="13" ht="20.100000000000001" customHeight="1"/>
    <row r="14" ht="20.100000000000001" customHeight="1"/>
    <row r="15" ht="20.100000000000001" customHeight="1"/>
    <row r="16" ht="20.100000000000001" customHeight="1"/>
    <row r="17" ht="20.100000000000001" customHeight="1"/>
    <row r="18" ht="20.100000000000001" customHeight="1"/>
    <row r="19" ht="20.100000000000001" customHeight="1"/>
    <row r="20" ht="20.100000000000001" customHeight="1"/>
    <row r="21" ht="20.100000000000001" customHeight="1"/>
    <row r="22" ht="20.100000000000001" customHeight="1"/>
    <row r="23" ht="20.100000000000001" customHeight="1"/>
    <row r="24" ht="20.100000000000001" customHeight="1"/>
    <row r="25" ht="20.100000000000001" customHeight="1"/>
    <row r="26" ht="20.100000000000001" customHeight="1"/>
    <row r="27" ht="20.100000000000001" customHeight="1"/>
    <row r="28" ht="20.100000000000001" customHeight="1"/>
    <row r="30" ht="20.100000000000001" customHeight="1"/>
    <row r="31" ht="20.100000000000001" customHeight="1"/>
    <row r="32"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3" ht="21" customHeight="1"/>
    <row r="54" ht="12.75" customHeight="1"/>
    <row r="55" ht="13.5" customHeight="1"/>
    <row r="56" ht="17.25" customHeight="1"/>
    <row r="57" ht="14.25" customHeight="1"/>
    <row r="58" ht="15.75" customHeight="1"/>
    <row r="59" ht="14.25" customHeight="1"/>
    <row r="60" ht="16.5" customHeight="1"/>
    <row r="61" ht="16.5" customHeight="1"/>
  </sheetData>
  <pageMargins left="0.5" right="0.25" top="0.25" bottom="0.25" header="0.5" footer="0.5"/>
  <pageSetup scale="65"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61"/>
  <sheetViews>
    <sheetView zoomScale="55" zoomScaleNormal="55" workbookViewId="0">
      <selection activeCell="AF40" sqref="AF40"/>
    </sheetView>
  </sheetViews>
  <sheetFormatPr defaultColWidth="9.140625" defaultRowHeight="14.45"/>
  <cols>
    <col min="1" max="1" width="7.28515625" customWidth="1"/>
    <col min="2" max="2" width="8.7109375" customWidth="1"/>
    <col min="3" max="3" width="8.140625" customWidth="1"/>
    <col min="4" max="4" width="9.28515625" customWidth="1"/>
    <col min="5" max="5" width="11.28515625" customWidth="1"/>
    <col min="6" max="6" width="2.85546875" customWidth="1"/>
    <col min="7" max="8" width="8.7109375" customWidth="1"/>
    <col min="9" max="9" width="9.28515625" customWidth="1"/>
    <col min="10" max="10" width="11.5703125" customWidth="1"/>
    <col min="11" max="11" width="8.85546875" customWidth="1"/>
    <col min="12" max="12" width="2.85546875" customWidth="1"/>
    <col min="14" max="15" width="8.7109375" customWidth="1"/>
    <col min="16" max="16" width="20.5703125" customWidth="1"/>
    <col min="17" max="17" width="10.28515625" customWidth="1"/>
  </cols>
  <sheetData>
    <row r="1" ht="21.75" customHeight="1"/>
    <row r="2" ht="17.25" customHeight="1"/>
    <row r="3" ht="19.5" customHeight="1"/>
    <row r="4" ht="27.75" customHeight="1"/>
    <row r="5" ht="26.25" customHeight="1"/>
    <row r="7" ht="15" customHeight="1"/>
    <row r="8" ht="20.25" customHeight="1"/>
    <row r="9" ht="20.100000000000001" customHeight="1"/>
    <row r="10" ht="20.100000000000001" customHeight="1"/>
    <row r="11" ht="20.100000000000001" customHeight="1"/>
    <row r="12" ht="20.100000000000001" customHeight="1"/>
    <row r="13" ht="20.100000000000001" customHeight="1"/>
    <row r="14" ht="20.100000000000001" customHeight="1"/>
    <row r="15" ht="20.100000000000001" customHeight="1"/>
    <row r="16" ht="20.100000000000001" customHeight="1"/>
    <row r="17" ht="20.100000000000001" customHeight="1"/>
    <row r="18" ht="20.100000000000001" customHeight="1"/>
    <row r="19" ht="20.100000000000001" customHeight="1"/>
    <row r="20" ht="20.100000000000001" customHeight="1"/>
    <row r="21" ht="20.100000000000001" customHeight="1"/>
    <row r="22" ht="20.100000000000001" customHeight="1"/>
    <row r="23" ht="20.100000000000001" customHeight="1"/>
    <row r="24" ht="20.100000000000001" customHeight="1"/>
    <row r="25" ht="20.100000000000001" customHeight="1"/>
    <row r="26" ht="20.100000000000001" customHeight="1"/>
    <row r="27" ht="20.100000000000001" customHeight="1"/>
    <row r="28" ht="20.100000000000001" customHeight="1"/>
    <row r="30" ht="20.100000000000001" customHeight="1"/>
    <row r="31" ht="20.100000000000001" customHeight="1"/>
    <row r="32"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3" ht="21" customHeight="1"/>
    <row r="54" ht="12.75" customHeight="1"/>
    <row r="55" ht="13.5" customHeight="1"/>
    <row r="56" ht="17.25" customHeight="1"/>
    <row r="57" ht="14.25" customHeight="1"/>
    <row r="58" ht="15.75" customHeight="1"/>
    <row r="59" ht="14.25" customHeight="1"/>
    <row r="60" ht="16.5" customHeight="1"/>
    <row r="61" ht="16.5" customHeight="1"/>
  </sheetData>
  <pageMargins left="0.5" right="0.25" top="0.25" bottom="0.25" header="0.5" footer="0.5"/>
  <pageSetup scale="65"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defaultRowHeight="14.45"/>
  <sheetData>
    <row r="1" spans="1:1">
      <c r="A1" t="s">
        <v>272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E15C52BAED34845AFF62166A2D5EFED" ma:contentTypeVersion="8" ma:contentTypeDescription="Create a new document." ma:contentTypeScope="" ma:versionID="08903bfae292cfa606d0057616d1a3cf">
  <xsd:schema xmlns:xsd="http://www.w3.org/2001/XMLSchema" xmlns:xs="http://www.w3.org/2001/XMLSchema" xmlns:p="http://schemas.microsoft.com/office/2006/metadata/properties" xmlns:ns2="4183b86f-ac7f-43ad-90fb-687527be31d7" xmlns:ns3="f606caf5-c733-425a-9686-f2b2cdc1e146" targetNamespace="http://schemas.microsoft.com/office/2006/metadata/properties" ma:root="true" ma:fieldsID="e03ed34cee610d2edc220c81a7b001c3" ns2:_="" ns3:_="">
    <xsd:import namespace="4183b86f-ac7f-43ad-90fb-687527be31d7"/>
    <xsd:import namespace="f606caf5-c733-425a-9686-f2b2cdc1e14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83b86f-ac7f-43ad-90fb-687527be31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606caf5-c733-425a-9686-f2b2cdc1e14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12632A9-F2E1-4B14-AEAE-17EB8D1EA59E}"/>
</file>

<file path=customXml/itemProps2.xml><?xml version="1.0" encoding="utf-8"?>
<ds:datastoreItem xmlns:ds="http://schemas.openxmlformats.org/officeDocument/2006/customXml" ds:itemID="{C4452703-D177-4418-B151-C657C7621D4F}"/>
</file>

<file path=customXml/itemProps3.xml><?xml version="1.0" encoding="utf-8"?>
<ds:datastoreItem xmlns:ds="http://schemas.openxmlformats.org/officeDocument/2006/customXml" ds:itemID="{00538B54-DC89-4401-9CE3-8A7D74FBBC1B}"/>
</file>

<file path=docProps/app.xml><?xml version="1.0" encoding="utf-8"?>
<Properties xmlns="http://schemas.openxmlformats.org/officeDocument/2006/extended-properties" xmlns:vt="http://schemas.openxmlformats.org/officeDocument/2006/docPropsVTypes">
  <Application>Microsoft Excel Online</Application>
  <Manager/>
  <Company>Bonneville Power Administration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Scrantonius Maximus</dc:creator>
  <cp:keywords/>
  <dc:description/>
  <cp:lastModifiedBy>Scranton,Russell W (BPA) - EWP-4</cp:lastModifiedBy>
  <cp:revision/>
  <dcterms:created xsi:type="dcterms:W3CDTF">2019-07-23T15:35:03Z</dcterms:created>
  <dcterms:modified xsi:type="dcterms:W3CDTF">2022-02-04T01:26:39Z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0x0101008E15C52BAED34845AFF62166A2D5EFED</vt:lpwstr>
  </property>
</Properties>
</file>